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svenja/Library/Mobile Documents/com~apple~CloudDocs/Wealth for Health Publication/"/>
    </mc:Choice>
  </mc:AlternateContent>
  <xr:revisionPtr revIDLastSave="0" documentId="13_ncr:1_{FC515EF0-056C-F149-B926-64C0FF8D5EA2}" xr6:coauthVersionLast="47" xr6:coauthVersionMax="47" xr10:uidLastSave="{00000000-0000-0000-0000-000000000000}"/>
  <bookViews>
    <workbookView xWindow="160" yWindow="500" windowWidth="28640" windowHeight="15800" firstSheet="12" activeTab="21" xr2:uid="{A1885C7A-E0E5-474E-8D43-3D4799015BC6}"/>
  </bookViews>
  <sheets>
    <sheet name="Introduction" sheetId="52" r:id="rId1"/>
    <sheet name="Price list REWE " sheetId="21" r:id="rId2"/>
    <sheet name="Price list ALDI Süd" sheetId="20" r:id="rId3"/>
    <sheet name="H (H) PHD" sheetId="22" r:id="rId4"/>
    <sheet name=" H Girl" sheetId="31" r:id="rId5"/>
    <sheet name=" H Boy" sheetId="32" r:id="rId6"/>
    <sheet name="H Mother" sheetId="33" r:id="rId7"/>
    <sheet name="H Father" sheetId="34" r:id="rId8"/>
    <sheet name="Moderate (M) PHD" sheetId="23" r:id="rId9"/>
    <sheet name="M Girl " sheetId="37" r:id="rId10"/>
    <sheet name="M Boy" sheetId="38" r:id="rId11"/>
    <sheet name="M Mother " sheetId="39" r:id="rId12"/>
    <sheet name="M Father " sheetId="40" r:id="rId13"/>
    <sheet name="Light (L) PHD" sheetId="25" r:id="rId14"/>
    <sheet name="L Girl  " sheetId="41" r:id="rId15"/>
    <sheet name="L Boy" sheetId="42" r:id="rId16"/>
    <sheet name="L Mother " sheetId="43" r:id="rId17"/>
    <sheet name="L Father " sheetId="45" r:id="rId18"/>
    <sheet name="Total cost and affordability" sheetId="46" r:id="rId19"/>
    <sheet name="Calculation cost shares" sheetId="50" r:id="rId20"/>
    <sheet name="Calculations of share" sheetId="8" r:id="rId21"/>
    <sheet name="Graphs" sheetId="54" r:id="rId22"/>
    <sheet name="References" sheetId="51" r:id="rId23"/>
  </sheets>
  <definedNames>
    <definedName name="_xlnm.Print_Area" localSheetId="4">' H Girl'!$D$1:$R$142</definedName>
    <definedName name="_xlnm.Print_Area" localSheetId="3">'H (H) PHD'!$A$2:$J$129</definedName>
    <definedName name="_xlnm.Print_Area" localSheetId="2">'Price list ALDI Süd'!$A$1:$L$138</definedName>
    <definedName name="_xlnm.Print_Area" localSheetId="1">'Price list REWE '!$A$2:$L$138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5" i="50" l="1"/>
  <c r="D184" i="50"/>
  <c r="D183" i="50"/>
  <c r="D182" i="50"/>
  <c r="D181" i="50"/>
  <c r="D180" i="50"/>
  <c r="D179" i="50"/>
  <c r="D178" i="50"/>
  <c r="D177" i="50"/>
  <c r="D176" i="50"/>
  <c r="D175" i="50"/>
  <c r="D174" i="50"/>
  <c r="D173" i="50"/>
  <c r="D165" i="50"/>
  <c r="D164" i="50"/>
  <c r="D163" i="50"/>
  <c r="D162" i="50"/>
  <c r="D161" i="50"/>
  <c r="D160" i="50"/>
  <c r="D159" i="50"/>
  <c r="D158" i="50"/>
  <c r="D157" i="50"/>
  <c r="D156" i="50"/>
  <c r="D155" i="50"/>
  <c r="D154" i="50"/>
  <c r="D153" i="50"/>
  <c r="D145" i="50"/>
  <c r="D144" i="50"/>
  <c r="D143" i="50"/>
  <c r="D142" i="50"/>
  <c r="D141" i="50"/>
  <c r="D140" i="50"/>
  <c r="D139" i="50"/>
  <c r="D138" i="50"/>
  <c r="D137" i="50"/>
  <c r="D136" i="50"/>
  <c r="D135" i="50"/>
  <c r="D147" i="50" s="1"/>
  <c r="D134" i="50"/>
  <c r="D133" i="50"/>
  <c r="B185" i="50"/>
  <c r="B184" i="50"/>
  <c r="B183" i="50"/>
  <c r="B182" i="50"/>
  <c r="B181" i="50"/>
  <c r="B180" i="50"/>
  <c r="B179" i="50"/>
  <c r="B178" i="50"/>
  <c r="B177" i="50"/>
  <c r="B176" i="50"/>
  <c r="B175" i="50"/>
  <c r="B174" i="50"/>
  <c r="B173" i="50"/>
  <c r="B165" i="50"/>
  <c r="B164" i="50"/>
  <c r="B163" i="50"/>
  <c r="B162" i="50"/>
  <c r="B161" i="50"/>
  <c r="B160" i="50"/>
  <c r="B159" i="50"/>
  <c r="B158" i="50"/>
  <c r="B157" i="50"/>
  <c r="B156" i="50"/>
  <c r="B155" i="50"/>
  <c r="B154" i="50"/>
  <c r="B153" i="50"/>
  <c r="B145" i="50"/>
  <c r="B144" i="50"/>
  <c r="B143" i="50"/>
  <c r="B142" i="50"/>
  <c r="B141" i="50"/>
  <c r="B140" i="50"/>
  <c r="B139" i="50"/>
  <c r="B138" i="50"/>
  <c r="B137" i="50"/>
  <c r="B136" i="50"/>
  <c r="B135" i="50"/>
  <c r="B134" i="50"/>
  <c r="B133" i="50"/>
  <c r="K173" i="50"/>
  <c r="E23" i="54"/>
  <c r="E24" i="54"/>
  <c r="E25" i="54"/>
  <c r="E26" i="54"/>
  <c r="E27" i="54"/>
  <c r="E28" i="54"/>
  <c r="D23" i="54"/>
  <c r="D24" i="54"/>
  <c r="D25" i="54"/>
  <c r="D26" i="54"/>
  <c r="D27" i="54"/>
  <c r="D28" i="54"/>
  <c r="N126" i="31"/>
  <c r="N128" i="31"/>
  <c r="N127" i="31"/>
  <c r="N125" i="31"/>
  <c r="H128" i="31"/>
  <c r="H127" i="31"/>
  <c r="H125" i="31"/>
  <c r="N128" i="41"/>
  <c r="N127" i="41"/>
  <c r="N126" i="41"/>
  <c r="H128" i="41"/>
  <c r="H127" i="41"/>
  <c r="H126" i="41"/>
  <c r="H125" i="41"/>
  <c r="P7" i="46"/>
  <c r="M28" i="46"/>
  <c r="O11" i="46"/>
  <c r="S11" i="46"/>
  <c r="H24" i="31"/>
  <c r="D24" i="31"/>
  <c r="E21" i="21"/>
  <c r="E42" i="8"/>
  <c r="K37" i="8"/>
  <c r="D25" i="8"/>
  <c r="E22" i="8"/>
  <c r="D22" i="8"/>
  <c r="M17" i="46"/>
  <c r="I134" i="50"/>
  <c r="K162" i="50"/>
  <c r="J159" i="50"/>
  <c r="K185" i="50"/>
  <c r="K184" i="50"/>
  <c r="K183" i="50"/>
  <c r="K182" i="50"/>
  <c r="K181" i="50"/>
  <c r="K180" i="50"/>
  <c r="K179" i="50"/>
  <c r="K178" i="50"/>
  <c r="K177" i="50"/>
  <c r="K176" i="50"/>
  <c r="K175" i="50"/>
  <c r="K174" i="50"/>
  <c r="I184" i="50"/>
  <c r="I183" i="50"/>
  <c r="I182" i="50"/>
  <c r="I181" i="50"/>
  <c r="I180" i="50"/>
  <c r="I179" i="50"/>
  <c r="I178" i="50"/>
  <c r="J180" i="50" s="1"/>
  <c r="I177" i="50"/>
  <c r="I176" i="50"/>
  <c r="I175" i="50"/>
  <c r="I174" i="50"/>
  <c r="I173" i="50"/>
  <c r="K165" i="50"/>
  <c r="K164" i="50"/>
  <c r="K163" i="50"/>
  <c r="K161" i="50"/>
  <c r="K160" i="50"/>
  <c r="L160" i="50" s="1"/>
  <c r="K159" i="50"/>
  <c r="K158" i="50"/>
  <c r="K157" i="50"/>
  <c r="K156" i="50"/>
  <c r="K155" i="50"/>
  <c r="K154" i="50"/>
  <c r="K153" i="50"/>
  <c r="I164" i="50"/>
  <c r="I163" i="50"/>
  <c r="I162" i="50"/>
  <c r="I161" i="50"/>
  <c r="I160" i="50"/>
  <c r="I159" i="50"/>
  <c r="I158" i="50"/>
  <c r="J160" i="50" s="1"/>
  <c r="I157" i="50"/>
  <c r="I156" i="50"/>
  <c r="I155" i="50"/>
  <c r="I154" i="50"/>
  <c r="I153" i="50"/>
  <c r="K145" i="50"/>
  <c r="K144" i="50"/>
  <c r="K143" i="50"/>
  <c r="K142" i="50"/>
  <c r="K141" i="50"/>
  <c r="K140" i="50"/>
  <c r="K139" i="50"/>
  <c r="K138" i="50"/>
  <c r="K137" i="50"/>
  <c r="K136" i="50"/>
  <c r="K134" i="50"/>
  <c r="K133" i="50"/>
  <c r="I144" i="50"/>
  <c r="I143" i="50"/>
  <c r="I142" i="50"/>
  <c r="I141" i="50"/>
  <c r="I140" i="50"/>
  <c r="I139" i="50"/>
  <c r="I138" i="50"/>
  <c r="I137" i="50"/>
  <c r="I136" i="50"/>
  <c r="I135" i="50"/>
  <c r="I133" i="50"/>
  <c r="I6" i="46"/>
  <c r="N11" i="46"/>
  <c r="H114" i="39"/>
  <c r="H113" i="39"/>
  <c r="H112" i="39"/>
  <c r="H109" i="39"/>
  <c r="D117" i="39"/>
  <c r="D109" i="39"/>
  <c r="D109" i="40"/>
  <c r="H117" i="40"/>
  <c r="H114" i="40"/>
  <c r="H113" i="40"/>
  <c r="H112" i="40"/>
  <c r="H109" i="40"/>
  <c r="P127" i="32"/>
  <c r="P126" i="32"/>
  <c r="M127" i="32"/>
  <c r="M126" i="32"/>
  <c r="P128" i="31"/>
  <c r="P127" i="31"/>
  <c r="M128" i="31"/>
  <c r="M127" i="31"/>
  <c r="N126" i="32"/>
  <c r="N127" i="38"/>
  <c r="N127" i="32"/>
  <c r="N125" i="32"/>
  <c r="N124" i="32"/>
  <c r="AA82" i="50"/>
  <c r="AA20" i="50"/>
  <c r="B20" i="50"/>
  <c r="D13" i="54"/>
  <c r="A138" i="20"/>
  <c r="A138" i="21"/>
  <c r="E7" i="22"/>
  <c r="E8" i="22"/>
  <c r="L76" i="22"/>
  <c r="L75" i="22"/>
  <c r="L73" i="22"/>
  <c r="E73" i="22"/>
  <c r="G12" i="41"/>
  <c r="R10" i="46"/>
  <c r="R11" i="46"/>
  <c r="M27" i="46"/>
  <c r="S10" i="46"/>
  <c r="Q11" i="46"/>
  <c r="Q10" i="46"/>
  <c r="Q8" i="46"/>
  <c r="Q7" i="46"/>
  <c r="O8" i="46"/>
  <c r="O5" i="46"/>
  <c r="E76" i="22"/>
  <c r="R12" i="46"/>
  <c r="D25" i="25"/>
  <c r="E11" i="8"/>
  <c r="E17" i="8"/>
  <c r="B25" i="8"/>
  <c r="I29" i="8"/>
  <c r="I28" i="8"/>
  <c r="I27" i="8"/>
  <c r="I26" i="8"/>
  <c r="H78" i="21"/>
  <c r="E78" i="21"/>
  <c r="D24" i="41"/>
  <c r="D46" i="25"/>
  <c r="D21" i="25"/>
  <c r="D20" i="25"/>
  <c r="K54" i="8"/>
  <c r="K55" i="8"/>
  <c r="K56" i="8"/>
  <c r="K57" i="8"/>
  <c r="K58" i="8"/>
  <c r="K59" i="8"/>
  <c r="K60" i="8"/>
  <c r="K61" i="8"/>
  <c r="K62" i="8"/>
  <c r="K63" i="8"/>
  <c r="J67" i="8"/>
  <c r="L67" i="8"/>
  <c r="M54" i="8"/>
  <c r="C54" i="8"/>
  <c r="D54" i="8"/>
  <c r="E37" i="22"/>
  <c r="E29" i="22"/>
  <c r="E11" i="23"/>
  <c r="D45" i="22"/>
  <c r="L69" i="22"/>
  <c r="K76" i="22"/>
  <c r="K74" i="22"/>
  <c r="K73" i="22"/>
  <c r="K77" i="22"/>
  <c r="J87" i="25"/>
  <c r="A137" i="25"/>
  <c r="A134" i="25"/>
  <c r="D131" i="25"/>
  <c r="D130" i="25"/>
  <c r="D129" i="25"/>
  <c r="D128" i="25"/>
  <c r="E128" i="25"/>
  <c r="E127" i="25"/>
  <c r="A138" i="23"/>
  <c r="A135" i="23"/>
  <c r="E129" i="23"/>
  <c r="E128" i="23"/>
  <c r="E127" i="23"/>
  <c r="D131" i="23"/>
  <c r="D130" i="23"/>
  <c r="D129" i="23"/>
  <c r="E130" i="22"/>
  <c r="E129" i="22"/>
  <c r="D129" i="22"/>
  <c r="D125" i="31"/>
  <c r="D132" i="22"/>
  <c r="D131" i="22"/>
  <c r="D127" i="31"/>
  <c r="D130" i="22"/>
  <c r="E128" i="22"/>
  <c r="A139" i="22"/>
  <c r="A136" i="22"/>
  <c r="D110" i="25"/>
  <c r="K67" i="8"/>
  <c r="L74" i="22"/>
  <c r="E129" i="25"/>
  <c r="D128" i="23"/>
  <c r="L42" i="46"/>
  <c r="L41" i="46"/>
  <c r="L40" i="46"/>
  <c r="L39" i="46"/>
  <c r="B67" i="8"/>
  <c r="G81" i="43"/>
  <c r="G12" i="45"/>
  <c r="G13" i="45"/>
  <c r="G14" i="45"/>
  <c r="G15" i="45"/>
  <c r="G16" i="45"/>
  <c r="G19" i="45"/>
  <c r="G26" i="45"/>
  <c r="G30" i="45"/>
  <c r="G31" i="45"/>
  <c r="G34" i="45"/>
  <c r="G35" i="45"/>
  <c r="G36" i="45"/>
  <c r="G38" i="45"/>
  <c r="G42" i="45"/>
  <c r="G43" i="45"/>
  <c r="G44" i="45"/>
  <c r="G45" i="45"/>
  <c r="G46" i="45"/>
  <c r="G49" i="45"/>
  <c r="G50" i="45"/>
  <c r="G51" i="45"/>
  <c r="G52" i="45"/>
  <c r="G53" i="45"/>
  <c r="G54" i="45"/>
  <c r="G55" i="45"/>
  <c r="G56" i="45"/>
  <c r="G57" i="45"/>
  <c r="G58" i="45"/>
  <c r="G61" i="45"/>
  <c r="G62" i="45"/>
  <c r="G63" i="45"/>
  <c r="G64" i="45"/>
  <c r="G65" i="45"/>
  <c r="G66" i="45"/>
  <c r="G67" i="45"/>
  <c r="G68" i="45"/>
  <c r="G69" i="45"/>
  <c r="G72" i="45"/>
  <c r="G75" i="45"/>
  <c r="G78" i="45"/>
  <c r="G81" i="45"/>
  <c r="G84" i="45"/>
  <c r="G85" i="45"/>
  <c r="G89" i="45"/>
  <c r="G92" i="45"/>
  <c r="G97" i="45"/>
  <c r="G98" i="45"/>
  <c r="G102" i="45"/>
  <c r="G105" i="45"/>
  <c r="G106" i="45"/>
  <c r="G109" i="45"/>
  <c r="G112" i="45"/>
  <c r="G113" i="45"/>
  <c r="G114" i="45"/>
  <c r="G117" i="45"/>
  <c r="G120" i="45"/>
  <c r="G121" i="45"/>
  <c r="G122" i="45"/>
  <c r="G125" i="45"/>
  <c r="G126" i="45"/>
  <c r="G127" i="45"/>
  <c r="G128" i="45"/>
  <c r="H128" i="45"/>
  <c r="G129" i="45"/>
  <c r="G12" i="43"/>
  <c r="G13" i="43"/>
  <c r="G14" i="43"/>
  <c r="G15" i="43"/>
  <c r="G16" i="43"/>
  <c r="G19" i="43"/>
  <c r="G26" i="43"/>
  <c r="G30" i="43"/>
  <c r="G31" i="43"/>
  <c r="G34" i="43"/>
  <c r="G35" i="43"/>
  <c r="G36" i="43"/>
  <c r="G38" i="43"/>
  <c r="G42" i="43"/>
  <c r="G43" i="43"/>
  <c r="G44" i="43"/>
  <c r="G45" i="43"/>
  <c r="G46" i="43"/>
  <c r="G49" i="43"/>
  <c r="G50" i="43"/>
  <c r="G51" i="43"/>
  <c r="G52" i="43"/>
  <c r="G53" i="43"/>
  <c r="G54" i="43"/>
  <c r="G55" i="43"/>
  <c r="G56" i="43"/>
  <c r="G57" i="43"/>
  <c r="G58" i="43"/>
  <c r="G61" i="43"/>
  <c r="G62" i="43"/>
  <c r="G63" i="43"/>
  <c r="G64" i="43"/>
  <c r="G65" i="43"/>
  <c r="G66" i="43"/>
  <c r="G67" i="43"/>
  <c r="G68" i="43"/>
  <c r="G69" i="43"/>
  <c r="G72" i="43"/>
  <c r="G75" i="43"/>
  <c r="G78" i="43"/>
  <c r="G84" i="43"/>
  <c r="G85" i="43"/>
  <c r="G89" i="43"/>
  <c r="G92" i="43"/>
  <c r="G97" i="43"/>
  <c r="G98" i="43"/>
  <c r="G102" i="43"/>
  <c r="G105" i="43"/>
  <c r="G106" i="43"/>
  <c r="G109" i="43"/>
  <c r="G112" i="43"/>
  <c r="G113" i="43"/>
  <c r="G114" i="43"/>
  <c r="G117" i="43"/>
  <c r="G120" i="43"/>
  <c r="G121" i="43"/>
  <c r="G122" i="43"/>
  <c r="G125" i="43"/>
  <c r="G126" i="43"/>
  <c r="H126" i="43"/>
  <c r="G127" i="43"/>
  <c r="G128" i="43"/>
  <c r="G129" i="43"/>
  <c r="P125" i="42"/>
  <c r="P126" i="42"/>
  <c r="P127" i="42"/>
  <c r="P128" i="42"/>
  <c r="P125" i="41"/>
  <c r="P126" i="41"/>
  <c r="P127" i="41"/>
  <c r="P128" i="41"/>
  <c r="P125" i="38"/>
  <c r="P126" i="38"/>
  <c r="P127" i="38"/>
  <c r="P128" i="38"/>
  <c r="P125" i="37"/>
  <c r="P126" i="37"/>
  <c r="Q126" i="37"/>
  <c r="P127" i="37"/>
  <c r="P128" i="37"/>
  <c r="P12" i="42"/>
  <c r="P13" i="42"/>
  <c r="P14" i="42"/>
  <c r="P15" i="42"/>
  <c r="P16" i="42"/>
  <c r="P19" i="42"/>
  <c r="P26" i="42"/>
  <c r="P30" i="42"/>
  <c r="P31" i="42"/>
  <c r="P34" i="42"/>
  <c r="P35" i="42"/>
  <c r="P36" i="42"/>
  <c r="P38" i="42"/>
  <c r="P39" i="42"/>
  <c r="P42" i="42"/>
  <c r="P43" i="42"/>
  <c r="P44" i="42"/>
  <c r="P45" i="42"/>
  <c r="P46" i="42"/>
  <c r="P49" i="42"/>
  <c r="P50" i="42"/>
  <c r="P51" i="42"/>
  <c r="P52" i="42"/>
  <c r="P53" i="42"/>
  <c r="P54" i="42"/>
  <c r="P55" i="42"/>
  <c r="P56" i="42"/>
  <c r="P57" i="42"/>
  <c r="P58" i="42"/>
  <c r="P61" i="42"/>
  <c r="P63" i="42"/>
  <c r="P64" i="42"/>
  <c r="P65" i="42"/>
  <c r="P66" i="42"/>
  <c r="P67" i="42"/>
  <c r="P68" i="42"/>
  <c r="P69" i="42"/>
  <c r="P72" i="42"/>
  <c r="P75" i="42"/>
  <c r="P78" i="42"/>
  <c r="P84" i="42"/>
  <c r="P85" i="42"/>
  <c r="P89" i="42"/>
  <c r="P92" i="42"/>
  <c r="P97" i="42"/>
  <c r="P98" i="42"/>
  <c r="P102" i="42"/>
  <c r="P105" i="42"/>
  <c r="P106" i="42"/>
  <c r="P109" i="42"/>
  <c r="P113" i="42"/>
  <c r="P114" i="42"/>
  <c r="P117" i="42"/>
  <c r="P120" i="42"/>
  <c r="P121" i="42"/>
  <c r="P122" i="42"/>
  <c r="P12" i="41"/>
  <c r="P13" i="41"/>
  <c r="P14" i="41"/>
  <c r="P15" i="41"/>
  <c r="P16" i="41"/>
  <c r="P19" i="41"/>
  <c r="P26" i="41"/>
  <c r="P30" i="41"/>
  <c r="P31" i="41"/>
  <c r="P34" i="41"/>
  <c r="P35" i="41"/>
  <c r="P36" i="41"/>
  <c r="P38" i="41"/>
  <c r="P42" i="41"/>
  <c r="P43" i="41"/>
  <c r="P44" i="41"/>
  <c r="P45" i="41"/>
  <c r="P46" i="41"/>
  <c r="P49" i="41"/>
  <c r="P50" i="41"/>
  <c r="P51" i="41"/>
  <c r="P52" i="41"/>
  <c r="P53" i="41"/>
  <c r="P54" i="41"/>
  <c r="P55" i="41"/>
  <c r="P56" i="41"/>
  <c r="P57" i="41"/>
  <c r="P58" i="41"/>
  <c r="P61" i="41"/>
  <c r="P63" i="41"/>
  <c r="P64" i="41"/>
  <c r="P65" i="41"/>
  <c r="P66" i="41"/>
  <c r="P67" i="41"/>
  <c r="P68" i="41"/>
  <c r="P69" i="41"/>
  <c r="P72" i="41"/>
  <c r="P75" i="41"/>
  <c r="P78" i="41"/>
  <c r="P84" i="41"/>
  <c r="P85" i="41"/>
  <c r="P89" i="41"/>
  <c r="P92" i="41"/>
  <c r="P97" i="41"/>
  <c r="P98" i="41"/>
  <c r="P102" i="41"/>
  <c r="P105" i="41"/>
  <c r="P106" i="41"/>
  <c r="P109" i="41"/>
  <c r="P113" i="41"/>
  <c r="P114" i="41"/>
  <c r="P117" i="41"/>
  <c r="P120" i="41"/>
  <c r="P121" i="41"/>
  <c r="P122" i="41"/>
  <c r="P12" i="38"/>
  <c r="P13" i="38"/>
  <c r="P14" i="38"/>
  <c r="P15" i="38"/>
  <c r="P16" i="38"/>
  <c r="P19" i="38"/>
  <c r="P26" i="38"/>
  <c r="P30" i="38"/>
  <c r="P31" i="38"/>
  <c r="P34" i="38"/>
  <c r="P35" i="38"/>
  <c r="P36" i="38"/>
  <c r="P38" i="38"/>
  <c r="P42" i="38"/>
  <c r="P43" i="38"/>
  <c r="P44" i="38"/>
  <c r="P45" i="38"/>
  <c r="P46" i="38"/>
  <c r="P49" i="38"/>
  <c r="P50" i="38"/>
  <c r="P51" i="38"/>
  <c r="P52" i="38"/>
  <c r="P53" i="38"/>
  <c r="P54" i="38"/>
  <c r="P55" i="38"/>
  <c r="P56" i="38"/>
  <c r="P57" i="38"/>
  <c r="P58" i="38"/>
  <c r="P61" i="38"/>
  <c r="P63" i="38"/>
  <c r="P64" i="38"/>
  <c r="P65" i="38"/>
  <c r="P66" i="38"/>
  <c r="P67" i="38"/>
  <c r="P68" i="38"/>
  <c r="P69" i="38"/>
  <c r="P72" i="38"/>
  <c r="P75" i="38"/>
  <c r="P78" i="38"/>
  <c r="P84" i="38"/>
  <c r="P85" i="38"/>
  <c r="P89" i="38"/>
  <c r="P92" i="38"/>
  <c r="P97" i="38"/>
  <c r="P98" i="38"/>
  <c r="P102" i="38"/>
  <c r="P105" i="38"/>
  <c r="P106" i="38"/>
  <c r="P109" i="38"/>
  <c r="P113" i="38"/>
  <c r="P114" i="38"/>
  <c r="P117" i="38"/>
  <c r="P120" i="38"/>
  <c r="P121" i="38"/>
  <c r="P122" i="38"/>
  <c r="P12" i="37"/>
  <c r="P13" i="37"/>
  <c r="P14" i="37"/>
  <c r="P15" i="37"/>
  <c r="P16" i="37"/>
  <c r="P19" i="37"/>
  <c r="P26" i="37"/>
  <c r="P30" i="37"/>
  <c r="P31" i="37"/>
  <c r="P34" i="37"/>
  <c r="P35" i="37"/>
  <c r="P36" i="37"/>
  <c r="P38" i="37"/>
  <c r="P42" i="37"/>
  <c r="P43" i="37"/>
  <c r="P44" i="37"/>
  <c r="P45" i="37"/>
  <c r="P46" i="37"/>
  <c r="P49" i="37"/>
  <c r="P50" i="37"/>
  <c r="P51" i="37"/>
  <c r="P52" i="37"/>
  <c r="P53" i="37"/>
  <c r="P54" i="37"/>
  <c r="P55" i="37"/>
  <c r="P56" i="37"/>
  <c r="P57" i="37"/>
  <c r="P58" i="37"/>
  <c r="P61" i="37"/>
  <c r="P63" i="37"/>
  <c r="P64" i="37"/>
  <c r="P65" i="37"/>
  <c r="P66" i="37"/>
  <c r="P67" i="37"/>
  <c r="P68" i="37"/>
  <c r="P69" i="37"/>
  <c r="P72" i="37"/>
  <c r="P75" i="37"/>
  <c r="P78" i="37"/>
  <c r="P84" i="37"/>
  <c r="P85" i="37"/>
  <c r="P89" i="37"/>
  <c r="P92" i="37"/>
  <c r="P97" i="37"/>
  <c r="P98" i="37"/>
  <c r="P102" i="37"/>
  <c r="P105" i="37"/>
  <c r="P106" i="37"/>
  <c r="P109" i="37"/>
  <c r="P113" i="37"/>
  <c r="P114" i="37"/>
  <c r="P117" i="37"/>
  <c r="P120" i="37"/>
  <c r="P121" i="37"/>
  <c r="P122" i="37"/>
  <c r="M125" i="42"/>
  <c r="M126" i="42"/>
  <c r="N126" i="42"/>
  <c r="M127" i="42"/>
  <c r="M128" i="42"/>
  <c r="M125" i="41"/>
  <c r="M126" i="41"/>
  <c r="M127" i="41"/>
  <c r="M128" i="41"/>
  <c r="M125" i="38"/>
  <c r="M126" i="38"/>
  <c r="N126" i="38"/>
  <c r="M127" i="38"/>
  <c r="M128" i="38"/>
  <c r="M125" i="37"/>
  <c r="M126" i="37"/>
  <c r="M127" i="37"/>
  <c r="M128" i="37"/>
  <c r="M12" i="42"/>
  <c r="M13" i="42"/>
  <c r="M14" i="42"/>
  <c r="M15" i="42"/>
  <c r="M16" i="42"/>
  <c r="M19" i="42"/>
  <c r="M26" i="42"/>
  <c r="M30" i="42"/>
  <c r="M31" i="42"/>
  <c r="M34" i="42"/>
  <c r="M35" i="42"/>
  <c r="M36" i="42"/>
  <c r="M38" i="42"/>
  <c r="M42" i="42"/>
  <c r="M43" i="42"/>
  <c r="M44" i="42"/>
  <c r="M45" i="42"/>
  <c r="M46" i="42"/>
  <c r="M50" i="42"/>
  <c r="M51" i="42"/>
  <c r="M52" i="42"/>
  <c r="M53" i="42"/>
  <c r="M54" i="42"/>
  <c r="M55" i="42"/>
  <c r="M56" i="42"/>
  <c r="M57" i="42"/>
  <c r="M58" i="42"/>
  <c r="M61" i="42"/>
  <c r="M62" i="42"/>
  <c r="M63" i="42"/>
  <c r="M64" i="42"/>
  <c r="M65" i="42"/>
  <c r="M66" i="42"/>
  <c r="M68" i="42"/>
  <c r="M69" i="42"/>
  <c r="M72" i="42"/>
  <c r="M75" i="42"/>
  <c r="M78" i="42"/>
  <c r="M84" i="42"/>
  <c r="M85" i="42"/>
  <c r="M89" i="42"/>
  <c r="M92" i="42"/>
  <c r="M97" i="42"/>
  <c r="M98" i="42"/>
  <c r="M102" i="42"/>
  <c r="M105" i="42"/>
  <c r="M106" i="42"/>
  <c r="M109" i="42"/>
  <c r="M112" i="42"/>
  <c r="M113" i="42"/>
  <c r="M114" i="42"/>
  <c r="M117" i="42"/>
  <c r="M120" i="42"/>
  <c r="M121" i="42"/>
  <c r="M122" i="42"/>
  <c r="M12" i="41"/>
  <c r="M13" i="41"/>
  <c r="M14" i="41"/>
  <c r="M15" i="41"/>
  <c r="M16" i="41"/>
  <c r="M19" i="41"/>
  <c r="M24" i="41"/>
  <c r="M26" i="41"/>
  <c r="M30" i="41"/>
  <c r="M31" i="41"/>
  <c r="M34" i="41"/>
  <c r="M35" i="41"/>
  <c r="M36" i="41"/>
  <c r="M38" i="41"/>
  <c r="M42" i="41"/>
  <c r="M43" i="41"/>
  <c r="M44" i="41"/>
  <c r="M45" i="41"/>
  <c r="M46" i="41"/>
  <c r="M50" i="41"/>
  <c r="M51" i="41"/>
  <c r="M52" i="41"/>
  <c r="M53" i="41"/>
  <c r="M54" i="41"/>
  <c r="M55" i="41"/>
  <c r="M56" i="41"/>
  <c r="M57" i="41"/>
  <c r="M58" i="41"/>
  <c r="M61" i="41"/>
  <c r="M62" i="41"/>
  <c r="M63" i="41"/>
  <c r="M64" i="41"/>
  <c r="M65" i="41"/>
  <c r="M66" i="41"/>
  <c r="M68" i="41"/>
  <c r="M69" i="41"/>
  <c r="M72" i="41"/>
  <c r="M75" i="41"/>
  <c r="M78" i="41"/>
  <c r="M84" i="41"/>
  <c r="M85" i="41"/>
  <c r="M89" i="41"/>
  <c r="M92" i="41"/>
  <c r="M97" i="41"/>
  <c r="M98" i="41"/>
  <c r="M102" i="41"/>
  <c r="M105" i="41"/>
  <c r="M106" i="41"/>
  <c r="M109" i="41"/>
  <c r="M112" i="41"/>
  <c r="M113" i="41"/>
  <c r="M114" i="41"/>
  <c r="M117" i="41"/>
  <c r="M120" i="41"/>
  <c r="M121" i="41"/>
  <c r="M122" i="41"/>
  <c r="M12" i="38"/>
  <c r="M13" i="38"/>
  <c r="M14" i="38"/>
  <c r="M15" i="38"/>
  <c r="M16" i="38"/>
  <c r="M19" i="38"/>
  <c r="M24" i="38"/>
  <c r="M26" i="38"/>
  <c r="M30" i="38"/>
  <c r="M31" i="38"/>
  <c r="M34" i="38"/>
  <c r="M35" i="38"/>
  <c r="M36" i="38"/>
  <c r="M38" i="38"/>
  <c r="M42" i="38"/>
  <c r="M43" i="38"/>
  <c r="M44" i="38"/>
  <c r="M45" i="38"/>
  <c r="M46" i="38"/>
  <c r="M50" i="38"/>
  <c r="M51" i="38"/>
  <c r="M52" i="38"/>
  <c r="M53" i="38"/>
  <c r="M54" i="38"/>
  <c r="M55" i="38"/>
  <c r="M56" i="38"/>
  <c r="M57" i="38"/>
  <c r="M58" i="38"/>
  <c r="M61" i="38"/>
  <c r="M62" i="38"/>
  <c r="M63" i="38"/>
  <c r="M64" i="38"/>
  <c r="M65" i="38"/>
  <c r="M66" i="38"/>
  <c r="M68" i="38"/>
  <c r="M69" i="38"/>
  <c r="M72" i="38"/>
  <c r="M75" i="38"/>
  <c r="M78" i="38"/>
  <c r="M84" i="38"/>
  <c r="M85" i="38"/>
  <c r="M89" i="38"/>
  <c r="M92" i="38"/>
  <c r="M97" i="38"/>
  <c r="M98" i="38"/>
  <c r="M102" i="38"/>
  <c r="M105" i="38"/>
  <c r="M106" i="38"/>
  <c r="M109" i="38"/>
  <c r="M112" i="38"/>
  <c r="M113" i="38"/>
  <c r="M114" i="38"/>
  <c r="M117" i="38"/>
  <c r="M120" i="38"/>
  <c r="M121" i="38"/>
  <c r="M122" i="38"/>
  <c r="M12" i="37"/>
  <c r="M13" i="37"/>
  <c r="M14" i="37"/>
  <c r="M15" i="37"/>
  <c r="M16" i="37"/>
  <c r="M19" i="37"/>
  <c r="M25" i="37"/>
  <c r="M26" i="37"/>
  <c r="M30" i="37"/>
  <c r="M31" i="37"/>
  <c r="M34" i="37"/>
  <c r="M35" i="37"/>
  <c r="M36" i="37"/>
  <c r="M38" i="37"/>
  <c r="M42" i="37"/>
  <c r="M43" i="37"/>
  <c r="M44" i="37"/>
  <c r="M45" i="37"/>
  <c r="M46" i="37"/>
  <c r="M50" i="37"/>
  <c r="M51" i="37"/>
  <c r="M52" i="37"/>
  <c r="M53" i="37"/>
  <c r="M54" i="37"/>
  <c r="M55" i="37"/>
  <c r="M56" i="37"/>
  <c r="M57" i="37"/>
  <c r="M58" i="37"/>
  <c r="M61" i="37"/>
  <c r="M62" i="37"/>
  <c r="M63" i="37"/>
  <c r="M64" i="37"/>
  <c r="M65" i="37"/>
  <c r="M66" i="37"/>
  <c r="M68" i="37"/>
  <c r="M69" i="37"/>
  <c r="M72" i="37"/>
  <c r="M75" i="37"/>
  <c r="M78" i="37"/>
  <c r="M84" i="37"/>
  <c r="M85" i="37"/>
  <c r="M89" i="37"/>
  <c r="M92" i="37"/>
  <c r="M97" i="37"/>
  <c r="M98" i="37"/>
  <c r="M102" i="37"/>
  <c r="M105" i="37"/>
  <c r="M106" i="37"/>
  <c r="M109" i="37"/>
  <c r="M112" i="37"/>
  <c r="M113" i="37"/>
  <c r="M114" i="37"/>
  <c r="M117" i="37"/>
  <c r="M120" i="37"/>
  <c r="M121" i="37"/>
  <c r="M122" i="37"/>
  <c r="J125" i="42"/>
  <c r="J126" i="42"/>
  <c r="J127" i="42"/>
  <c r="J128" i="42"/>
  <c r="J125" i="41"/>
  <c r="K125" i="41"/>
  <c r="D122" i="50"/>
  <c r="J126" i="41"/>
  <c r="K126" i="41"/>
  <c r="J127" i="41"/>
  <c r="K127" i="41"/>
  <c r="J128" i="41"/>
  <c r="K128" i="41"/>
  <c r="J125" i="38"/>
  <c r="J126" i="38"/>
  <c r="J127" i="38"/>
  <c r="J128" i="38"/>
  <c r="J125" i="37"/>
  <c r="J126" i="37"/>
  <c r="K126" i="37"/>
  <c r="J127" i="37"/>
  <c r="J128" i="37"/>
  <c r="J12" i="42"/>
  <c r="J13" i="42"/>
  <c r="J14" i="42"/>
  <c r="J15" i="42"/>
  <c r="J16" i="42"/>
  <c r="J19" i="42"/>
  <c r="J26" i="42"/>
  <c r="J30" i="42"/>
  <c r="J31" i="42"/>
  <c r="J34" i="42"/>
  <c r="J35" i="42"/>
  <c r="J36" i="42"/>
  <c r="J38" i="42"/>
  <c r="J42" i="42"/>
  <c r="J43" i="42"/>
  <c r="J44" i="42"/>
  <c r="J45" i="42"/>
  <c r="J46" i="42"/>
  <c r="J49" i="42"/>
  <c r="J50" i="42"/>
  <c r="J51" i="42"/>
  <c r="J52" i="42"/>
  <c r="J53" i="42"/>
  <c r="J54" i="42"/>
  <c r="J55" i="42"/>
  <c r="J56" i="42"/>
  <c r="J57" i="42"/>
  <c r="J58" i="42"/>
  <c r="J61" i="42"/>
  <c r="J62" i="42"/>
  <c r="J63" i="42"/>
  <c r="J64" i="42"/>
  <c r="J65" i="42"/>
  <c r="J66" i="42"/>
  <c r="J67" i="42"/>
  <c r="J68" i="42"/>
  <c r="J69" i="42"/>
  <c r="J72" i="42"/>
  <c r="J75" i="42"/>
  <c r="J78" i="42"/>
  <c r="J84" i="42"/>
  <c r="J85" i="42"/>
  <c r="J89" i="42"/>
  <c r="J92" i="42"/>
  <c r="J97" i="42"/>
  <c r="J98" i="42"/>
  <c r="J102" i="42"/>
  <c r="J105" i="42"/>
  <c r="J106" i="42"/>
  <c r="J109" i="42"/>
  <c r="J112" i="42"/>
  <c r="J113" i="42"/>
  <c r="J114" i="42"/>
  <c r="J117" i="42"/>
  <c r="J120" i="42"/>
  <c r="J121" i="42"/>
  <c r="J122" i="42"/>
  <c r="J12" i="41"/>
  <c r="J13" i="41"/>
  <c r="J14" i="41"/>
  <c r="J15" i="41"/>
  <c r="J16" i="41"/>
  <c r="J19" i="41"/>
  <c r="J26" i="41"/>
  <c r="J30" i="41"/>
  <c r="J31" i="41"/>
  <c r="J34" i="41"/>
  <c r="J35" i="41"/>
  <c r="J36" i="41"/>
  <c r="J38" i="41"/>
  <c r="J42" i="41"/>
  <c r="J43" i="41"/>
  <c r="J44" i="41"/>
  <c r="J45" i="41"/>
  <c r="J46" i="41"/>
  <c r="J49" i="41"/>
  <c r="J50" i="41"/>
  <c r="J51" i="41"/>
  <c r="J52" i="41"/>
  <c r="J53" i="41"/>
  <c r="J54" i="41"/>
  <c r="J55" i="41"/>
  <c r="J56" i="41"/>
  <c r="J57" i="41"/>
  <c r="J58" i="41"/>
  <c r="J61" i="41"/>
  <c r="J62" i="41"/>
  <c r="J63" i="41"/>
  <c r="J64" i="41"/>
  <c r="J65" i="41"/>
  <c r="J66" i="41"/>
  <c r="J67" i="41"/>
  <c r="J68" i="41"/>
  <c r="J69" i="41"/>
  <c r="J72" i="41"/>
  <c r="J75" i="41"/>
  <c r="J78" i="41"/>
  <c r="J84" i="41"/>
  <c r="J85" i="41"/>
  <c r="J89" i="41"/>
  <c r="J92" i="41"/>
  <c r="J97" i="41"/>
  <c r="J98" i="41"/>
  <c r="J102" i="41"/>
  <c r="J105" i="41"/>
  <c r="J106" i="41"/>
  <c r="J109" i="41"/>
  <c r="J112" i="41"/>
  <c r="J113" i="41"/>
  <c r="J114" i="41"/>
  <c r="J117" i="41"/>
  <c r="J120" i="41"/>
  <c r="J121" i="41"/>
  <c r="J122" i="41"/>
  <c r="J12" i="38"/>
  <c r="J13" i="38"/>
  <c r="J14" i="38"/>
  <c r="J15" i="38"/>
  <c r="J16" i="38"/>
  <c r="J19" i="38"/>
  <c r="J26" i="38"/>
  <c r="J30" i="38"/>
  <c r="J31" i="38"/>
  <c r="J34" i="38"/>
  <c r="J35" i="38"/>
  <c r="J36" i="38"/>
  <c r="J38" i="38"/>
  <c r="J42" i="38"/>
  <c r="J43" i="38"/>
  <c r="J44" i="38"/>
  <c r="J45" i="38"/>
  <c r="J46" i="38"/>
  <c r="J49" i="38"/>
  <c r="J50" i="38"/>
  <c r="J51" i="38"/>
  <c r="J52" i="38"/>
  <c r="J53" i="38"/>
  <c r="J54" i="38"/>
  <c r="J55" i="38"/>
  <c r="J56" i="38"/>
  <c r="J57" i="38"/>
  <c r="J58" i="38"/>
  <c r="J61" i="38"/>
  <c r="J62" i="38"/>
  <c r="J63" i="38"/>
  <c r="J64" i="38"/>
  <c r="J65" i="38"/>
  <c r="J66" i="38"/>
  <c r="J67" i="38"/>
  <c r="J68" i="38"/>
  <c r="J69" i="38"/>
  <c r="J72" i="38"/>
  <c r="J75" i="38"/>
  <c r="J78" i="38"/>
  <c r="J84" i="38"/>
  <c r="J85" i="38"/>
  <c r="J89" i="38"/>
  <c r="J92" i="38"/>
  <c r="J97" i="38"/>
  <c r="J98" i="38"/>
  <c r="J102" i="38"/>
  <c r="J105" i="38"/>
  <c r="J106" i="38"/>
  <c r="J109" i="38"/>
  <c r="J112" i="38"/>
  <c r="J113" i="38"/>
  <c r="J114" i="38"/>
  <c r="J117" i="38"/>
  <c r="J120" i="38"/>
  <c r="J121" i="38"/>
  <c r="J122" i="38"/>
  <c r="J12" i="37"/>
  <c r="J13" i="37"/>
  <c r="J14" i="37"/>
  <c r="J15" i="37"/>
  <c r="J16" i="37"/>
  <c r="J19" i="37"/>
  <c r="J26" i="37"/>
  <c r="J30" i="37"/>
  <c r="J31" i="37"/>
  <c r="J34" i="37"/>
  <c r="J35" i="37"/>
  <c r="J36" i="37"/>
  <c r="J38" i="37"/>
  <c r="J42" i="37"/>
  <c r="J43" i="37"/>
  <c r="J44" i="37"/>
  <c r="J45" i="37"/>
  <c r="J46" i="37"/>
  <c r="J49" i="37"/>
  <c r="J50" i="37"/>
  <c r="J51" i="37"/>
  <c r="J52" i="37"/>
  <c r="J53" i="37"/>
  <c r="J54" i="37"/>
  <c r="J55" i="37"/>
  <c r="J56" i="37"/>
  <c r="J57" i="37"/>
  <c r="J58" i="37"/>
  <c r="J61" i="37"/>
  <c r="J62" i="37"/>
  <c r="J63" i="37"/>
  <c r="J64" i="37"/>
  <c r="J65" i="37"/>
  <c r="J66" i="37"/>
  <c r="J67" i="37"/>
  <c r="J68" i="37"/>
  <c r="J69" i="37"/>
  <c r="J72" i="37"/>
  <c r="J75" i="37"/>
  <c r="J78" i="37"/>
  <c r="J84" i="37"/>
  <c r="J85" i="37"/>
  <c r="J89" i="37"/>
  <c r="J92" i="37"/>
  <c r="J97" i="37"/>
  <c r="J98" i="37"/>
  <c r="J102" i="37"/>
  <c r="J105" i="37"/>
  <c r="J106" i="37"/>
  <c r="J109" i="37"/>
  <c r="J112" i="37"/>
  <c r="J113" i="37"/>
  <c r="J114" i="37"/>
  <c r="J117" i="37"/>
  <c r="J120" i="37"/>
  <c r="J121" i="37"/>
  <c r="J122" i="37"/>
  <c r="G12" i="42"/>
  <c r="G13" i="42"/>
  <c r="G14" i="42"/>
  <c r="G15" i="42"/>
  <c r="G16" i="42"/>
  <c r="G19" i="42"/>
  <c r="G26" i="42"/>
  <c r="G30" i="42"/>
  <c r="G31" i="42"/>
  <c r="G34" i="42"/>
  <c r="G35" i="42"/>
  <c r="G36" i="42"/>
  <c r="G38" i="42"/>
  <c r="G42" i="42"/>
  <c r="G43" i="42"/>
  <c r="G44" i="42"/>
  <c r="G45" i="42"/>
  <c r="G46" i="42"/>
  <c r="G49" i="42"/>
  <c r="G50" i="42"/>
  <c r="G51" i="42"/>
  <c r="G52" i="42"/>
  <c r="G53" i="42"/>
  <c r="G54" i="42"/>
  <c r="G55" i="42"/>
  <c r="G56" i="42"/>
  <c r="G57" i="42"/>
  <c r="G58" i="42"/>
  <c r="G61" i="42"/>
  <c r="G62" i="42"/>
  <c r="G63" i="42"/>
  <c r="G64" i="42"/>
  <c r="G65" i="42"/>
  <c r="G66" i="42"/>
  <c r="G67" i="42"/>
  <c r="G68" i="42"/>
  <c r="G69" i="42"/>
  <c r="G72" i="42"/>
  <c r="G75" i="42"/>
  <c r="G78" i="42"/>
  <c r="G84" i="42"/>
  <c r="G85" i="42"/>
  <c r="G89" i="42"/>
  <c r="G92" i="42"/>
  <c r="G97" i="42"/>
  <c r="G98" i="42"/>
  <c r="G102" i="42"/>
  <c r="G105" i="42"/>
  <c r="G106" i="42"/>
  <c r="G109" i="42"/>
  <c r="G112" i="42"/>
  <c r="G113" i="42"/>
  <c r="G114" i="42"/>
  <c r="G117" i="42"/>
  <c r="G120" i="42"/>
  <c r="G121" i="42"/>
  <c r="G122" i="42"/>
  <c r="G13" i="41"/>
  <c r="G14" i="41"/>
  <c r="G15" i="41"/>
  <c r="G16" i="41"/>
  <c r="G19" i="41"/>
  <c r="G26" i="41"/>
  <c r="G28" i="41"/>
  <c r="G30" i="41"/>
  <c r="G31" i="41"/>
  <c r="G34" i="41"/>
  <c r="G35" i="41"/>
  <c r="G36" i="41"/>
  <c r="G38" i="41"/>
  <c r="G42" i="41"/>
  <c r="G43" i="41"/>
  <c r="G44" i="41"/>
  <c r="G45" i="41"/>
  <c r="G46" i="41"/>
  <c r="G49" i="41"/>
  <c r="G50" i="41"/>
  <c r="G51" i="41"/>
  <c r="G52" i="41"/>
  <c r="G53" i="41"/>
  <c r="G54" i="41"/>
  <c r="G55" i="41"/>
  <c r="G56" i="41"/>
  <c r="G57" i="41"/>
  <c r="G58" i="41"/>
  <c r="G61" i="41"/>
  <c r="G62" i="41"/>
  <c r="G63" i="41"/>
  <c r="G64" i="41"/>
  <c r="G65" i="41"/>
  <c r="G66" i="41"/>
  <c r="G67" i="41"/>
  <c r="G68" i="41"/>
  <c r="G69" i="41"/>
  <c r="G72" i="41"/>
  <c r="G75" i="41"/>
  <c r="G78" i="41"/>
  <c r="G81" i="41"/>
  <c r="G84" i="41"/>
  <c r="G85" i="41"/>
  <c r="G89" i="41"/>
  <c r="G92" i="41"/>
  <c r="G97" i="41"/>
  <c r="G98" i="41"/>
  <c r="G102" i="41"/>
  <c r="G105" i="41"/>
  <c r="G106" i="41"/>
  <c r="G109" i="41"/>
  <c r="G112" i="41"/>
  <c r="G113" i="41"/>
  <c r="G114" i="41"/>
  <c r="G117" i="41"/>
  <c r="G120" i="41"/>
  <c r="G121" i="41"/>
  <c r="G122" i="41"/>
  <c r="G12" i="38"/>
  <c r="G13" i="38"/>
  <c r="G14" i="38"/>
  <c r="G15" i="38"/>
  <c r="G16" i="38"/>
  <c r="G19" i="38"/>
  <c r="G26" i="38"/>
  <c r="G30" i="38"/>
  <c r="G31" i="38"/>
  <c r="G34" i="38"/>
  <c r="G35" i="38"/>
  <c r="G36" i="38"/>
  <c r="G38" i="38"/>
  <c r="G42" i="38"/>
  <c r="G43" i="38"/>
  <c r="G44" i="38"/>
  <c r="G45" i="38"/>
  <c r="G46" i="38"/>
  <c r="G49" i="38"/>
  <c r="G50" i="38"/>
  <c r="G51" i="38"/>
  <c r="G52" i="38"/>
  <c r="G53" i="38"/>
  <c r="G54" i="38"/>
  <c r="G55" i="38"/>
  <c r="G56" i="38"/>
  <c r="G57" i="38"/>
  <c r="G58" i="38"/>
  <c r="G61" i="38"/>
  <c r="G62" i="38"/>
  <c r="G63" i="38"/>
  <c r="G64" i="38"/>
  <c r="G65" i="38"/>
  <c r="G66" i="38"/>
  <c r="G67" i="38"/>
  <c r="G68" i="38"/>
  <c r="G69" i="38"/>
  <c r="G72" i="38"/>
  <c r="G75" i="38"/>
  <c r="G78" i="38"/>
  <c r="G81" i="38"/>
  <c r="G84" i="38"/>
  <c r="G85" i="38"/>
  <c r="G89" i="38"/>
  <c r="G92" i="38"/>
  <c r="G97" i="38"/>
  <c r="G98" i="38"/>
  <c r="G102" i="38"/>
  <c r="G105" i="38"/>
  <c r="G106" i="38"/>
  <c r="G109" i="38"/>
  <c r="G112" i="38"/>
  <c r="G113" i="38"/>
  <c r="G114" i="38"/>
  <c r="G117" i="38"/>
  <c r="G120" i="38"/>
  <c r="G121" i="38"/>
  <c r="G122" i="38"/>
  <c r="G125" i="42"/>
  <c r="G126" i="42"/>
  <c r="G127" i="42"/>
  <c r="G128" i="42"/>
  <c r="G125" i="41"/>
  <c r="G126" i="41"/>
  <c r="G127" i="41"/>
  <c r="G128" i="41"/>
  <c r="G125" i="38"/>
  <c r="G126" i="38"/>
  <c r="G127" i="38"/>
  <c r="G128" i="38"/>
  <c r="G125" i="37"/>
  <c r="G126" i="37"/>
  <c r="G127" i="37"/>
  <c r="G128" i="37"/>
  <c r="G12" i="37"/>
  <c r="G13" i="37"/>
  <c r="G14" i="37"/>
  <c r="G15" i="37"/>
  <c r="G16" i="37"/>
  <c r="G19" i="37"/>
  <c r="G26" i="37"/>
  <c r="G30" i="37"/>
  <c r="G31" i="37"/>
  <c r="G34" i="37"/>
  <c r="G35" i="37"/>
  <c r="G36" i="37"/>
  <c r="G38" i="37"/>
  <c r="G39" i="37"/>
  <c r="G42" i="37"/>
  <c r="G43" i="37"/>
  <c r="G44" i="37"/>
  <c r="G45" i="37"/>
  <c r="G46" i="37"/>
  <c r="G49" i="37"/>
  <c r="G50" i="37"/>
  <c r="G51" i="37"/>
  <c r="G52" i="37"/>
  <c r="G53" i="37"/>
  <c r="G54" i="37"/>
  <c r="G55" i="37"/>
  <c r="G56" i="37"/>
  <c r="G57" i="37"/>
  <c r="G58" i="37"/>
  <c r="G61" i="37"/>
  <c r="G62" i="37"/>
  <c r="G63" i="37"/>
  <c r="G64" i="37"/>
  <c r="G65" i="37"/>
  <c r="G66" i="37"/>
  <c r="G67" i="37"/>
  <c r="G68" i="37"/>
  <c r="G69" i="37"/>
  <c r="G72" i="37"/>
  <c r="G75" i="37"/>
  <c r="G78" i="37"/>
  <c r="G84" i="37"/>
  <c r="G85" i="37"/>
  <c r="G89" i="37"/>
  <c r="G92" i="37"/>
  <c r="G97" i="37"/>
  <c r="G98" i="37"/>
  <c r="G102" i="37"/>
  <c r="G105" i="37"/>
  <c r="G106" i="37"/>
  <c r="G109" i="37"/>
  <c r="G112" i="37"/>
  <c r="G113" i="37"/>
  <c r="G114" i="37"/>
  <c r="G117" i="37"/>
  <c r="G120" i="37"/>
  <c r="G121" i="37"/>
  <c r="G122" i="37"/>
  <c r="P12" i="45"/>
  <c r="P13" i="45"/>
  <c r="P14" i="45"/>
  <c r="P15" i="45"/>
  <c r="P16" i="45"/>
  <c r="P19" i="45"/>
  <c r="P26" i="45"/>
  <c r="P30" i="45"/>
  <c r="P31" i="45"/>
  <c r="P34" i="45"/>
  <c r="P35" i="45"/>
  <c r="P36" i="45"/>
  <c r="P38" i="45"/>
  <c r="P42" i="45"/>
  <c r="P43" i="45"/>
  <c r="P44" i="45"/>
  <c r="P45" i="45"/>
  <c r="P46" i="45"/>
  <c r="P49" i="45"/>
  <c r="P50" i="45"/>
  <c r="P51" i="45"/>
  <c r="P52" i="45"/>
  <c r="P53" i="45"/>
  <c r="P54" i="45"/>
  <c r="P55" i="45"/>
  <c r="P56" i="45"/>
  <c r="P57" i="45"/>
  <c r="P58" i="45"/>
  <c r="P61" i="45"/>
  <c r="P63" i="45"/>
  <c r="P64" i="45"/>
  <c r="P65" i="45"/>
  <c r="P66" i="45"/>
  <c r="P67" i="45"/>
  <c r="P68" i="45"/>
  <c r="P69" i="45"/>
  <c r="P72" i="45"/>
  <c r="P75" i="45"/>
  <c r="P78" i="45"/>
  <c r="P84" i="45"/>
  <c r="P85" i="45"/>
  <c r="P89" i="45"/>
  <c r="P92" i="45"/>
  <c r="P97" i="45"/>
  <c r="P98" i="45"/>
  <c r="P102" i="45"/>
  <c r="P105" i="45"/>
  <c r="P106" i="45"/>
  <c r="P109" i="45"/>
  <c r="P113" i="45"/>
  <c r="P114" i="45"/>
  <c r="P117" i="45"/>
  <c r="P120" i="45"/>
  <c r="P121" i="45"/>
  <c r="P122" i="45"/>
  <c r="P125" i="45"/>
  <c r="P126" i="45"/>
  <c r="P127" i="45"/>
  <c r="P128" i="45"/>
  <c r="P129" i="45"/>
  <c r="P12" i="43"/>
  <c r="P13" i="43"/>
  <c r="P14" i="43"/>
  <c r="P15" i="43"/>
  <c r="P16" i="43"/>
  <c r="P19" i="43"/>
  <c r="P26" i="43"/>
  <c r="P30" i="43"/>
  <c r="P31" i="43"/>
  <c r="P34" i="43"/>
  <c r="P35" i="43"/>
  <c r="P36" i="43"/>
  <c r="P38" i="43"/>
  <c r="P39" i="43"/>
  <c r="P42" i="43"/>
  <c r="P43" i="43"/>
  <c r="P44" i="43"/>
  <c r="P45" i="43"/>
  <c r="P46" i="43"/>
  <c r="P49" i="43"/>
  <c r="P50" i="43"/>
  <c r="P51" i="43"/>
  <c r="P52" i="43"/>
  <c r="P53" i="43"/>
  <c r="P54" i="43"/>
  <c r="P55" i="43"/>
  <c r="P56" i="43"/>
  <c r="P57" i="43"/>
  <c r="P58" i="43"/>
  <c r="P61" i="43"/>
  <c r="P63" i="43"/>
  <c r="P64" i="43"/>
  <c r="P65" i="43"/>
  <c r="P66" i="43"/>
  <c r="P67" i="43"/>
  <c r="P68" i="43"/>
  <c r="P69" i="43"/>
  <c r="P72" i="43"/>
  <c r="P75" i="43"/>
  <c r="P78" i="43"/>
  <c r="P84" i="43"/>
  <c r="P85" i="43"/>
  <c r="P89" i="43"/>
  <c r="P92" i="43"/>
  <c r="P97" i="43"/>
  <c r="P98" i="43"/>
  <c r="P102" i="43"/>
  <c r="P105" i="43"/>
  <c r="P106" i="43"/>
  <c r="P109" i="43"/>
  <c r="P113" i="43"/>
  <c r="P114" i="43"/>
  <c r="P117" i="43"/>
  <c r="P120" i="43"/>
  <c r="P121" i="43"/>
  <c r="P122" i="43"/>
  <c r="P125" i="43"/>
  <c r="P126" i="43"/>
  <c r="P127" i="43"/>
  <c r="P128" i="43"/>
  <c r="P129" i="43"/>
  <c r="P12" i="40"/>
  <c r="P13" i="40"/>
  <c r="P14" i="40"/>
  <c r="P15" i="40"/>
  <c r="P16" i="40"/>
  <c r="P19" i="40"/>
  <c r="P26" i="40"/>
  <c r="P30" i="40"/>
  <c r="P31" i="40"/>
  <c r="P34" i="40"/>
  <c r="P35" i="40"/>
  <c r="P36" i="40"/>
  <c r="P38" i="40"/>
  <c r="P39" i="40"/>
  <c r="P42" i="40"/>
  <c r="P43" i="40"/>
  <c r="P44" i="40"/>
  <c r="P45" i="40"/>
  <c r="P46" i="40"/>
  <c r="P49" i="40"/>
  <c r="P50" i="40"/>
  <c r="P51" i="40"/>
  <c r="P52" i="40"/>
  <c r="P53" i="40"/>
  <c r="P54" i="40"/>
  <c r="P55" i="40"/>
  <c r="P56" i="40"/>
  <c r="P57" i="40"/>
  <c r="P58" i="40"/>
  <c r="P61" i="40"/>
  <c r="P63" i="40"/>
  <c r="P64" i="40"/>
  <c r="P65" i="40"/>
  <c r="P66" i="40"/>
  <c r="P67" i="40"/>
  <c r="P68" i="40"/>
  <c r="P69" i="40"/>
  <c r="P72" i="40"/>
  <c r="P75" i="40"/>
  <c r="P78" i="40"/>
  <c r="P84" i="40"/>
  <c r="P85" i="40"/>
  <c r="P89" i="40"/>
  <c r="P92" i="40"/>
  <c r="P97" i="40"/>
  <c r="P98" i="40"/>
  <c r="P102" i="40"/>
  <c r="P105" i="40"/>
  <c r="P106" i="40"/>
  <c r="P109" i="40"/>
  <c r="P113" i="40"/>
  <c r="P114" i="40"/>
  <c r="P117" i="40"/>
  <c r="P120" i="40"/>
  <c r="P121" i="40"/>
  <c r="P122" i="40"/>
  <c r="P125" i="40"/>
  <c r="P126" i="40"/>
  <c r="P127" i="40"/>
  <c r="P128" i="40"/>
  <c r="P129" i="40"/>
  <c r="P12" i="39"/>
  <c r="P13" i="39"/>
  <c r="P14" i="39"/>
  <c r="P15" i="39"/>
  <c r="P16" i="39"/>
  <c r="P19" i="39"/>
  <c r="P26" i="39"/>
  <c r="P30" i="39"/>
  <c r="P31" i="39"/>
  <c r="P34" i="39"/>
  <c r="P35" i="39"/>
  <c r="P36" i="39"/>
  <c r="P38" i="39"/>
  <c r="P39" i="39"/>
  <c r="P42" i="39"/>
  <c r="P43" i="39"/>
  <c r="P44" i="39"/>
  <c r="P45" i="39"/>
  <c r="P46" i="39"/>
  <c r="P49" i="39"/>
  <c r="P50" i="39"/>
  <c r="P51" i="39"/>
  <c r="P52" i="39"/>
  <c r="P53" i="39"/>
  <c r="P54" i="39"/>
  <c r="P55" i="39"/>
  <c r="P56" i="39"/>
  <c r="P57" i="39"/>
  <c r="P58" i="39"/>
  <c r="P61" i="39"/>
  <c r="P63" i="39"/>
  <c r="P64" i="39"/>
  <c r="P65" i="39"/>
  <c r="P66" i="39"/>
  <c r="P67" i="39"/>
  <c r="P68" i="39"/>
  <c r="P69" i="39"/>
  <c r="P72" i="39"/>
  <c r="P75" i="39"/>
  <c r="P78" i="39"/>
  <c r="P84" i="39"/>
  <c r="P85" i="39"/>
  <c r="P89" i="39"/>
  <c r="P92" i="39"/>
  <c r="P97" i="39"/>
  <c r="P98" i="39"/>
  <c r="P102" i="39"/>
  <c r="P105" i="39"/>
  <c r="P106" i="39"/>
  <c r="P109" i="39"/>
  <c r="P113" i="39"/>
  <c r="P114" i="39"/>
  <c r="P117" i="39"/>
  <c r="P120" i="39"/>
  <c r="P121" i="39"/>
  <c r="P122" i="39"/>
  <c r="P125" i="39"/>
  <c r="P126" i="39"/>
  <c r="P127" i="39"/>
  <c r="P128" i="39"/>
  <c r="P129" i="39"/>
  <c r="M12" i="45"/>
  <c r="M13" i="45"/>
  <c r="M14" i="45"/>
  <c r="M15" i="45"/>
  <c r="M16" i="45"/>
  <c r="M19" i="45"/>
  <c r="M24" i="45"/>
  <c r="M25" i="45"/>
  <c r="M26" i="45"/>
  <c r="M29" i="45"/>
  <c r="M30" i="45"/>
  <c r="M31" i="45"/>
  <c r="M34" i="45"/>
  <c r="M35" i="45"/>
  <c r="M36" i="45"/>
  <c r="M38" i="45"/>
  <c r="M39" i="45"/>
  <c r="M42" i="45"/>
  <c r="M43" i="45"/>
  <c r="M44" i="45"/>
  <c r="M45" i="45"/>
  <c r="M46" i="45"/>
  <c r="M50" i="45"/>
  <c r="M51" i="45"/>
  <c r="M52" i="45"/>
  <c r="M53" i="45"/>
  <c r="M54" i="45"/>
  <c r="M55" i="45"/>
  <c r="M56" i="45"/>
  <c r="M57" i="45"/>
  <c r="M58" i="45"/>
  <c r="M61" i="45"/>
  <c r="M62" i="45"/>
  <c r="M63" i="45"/>
  <c r="M64" i="45"/>
  <c r="M65" i="45"/>
  <c r="M66" i="45"/>
  <c r="M68" i="45"/>
  <c r="M69" i="45"/>
  <c r="M72" i="45"/>
  <c r="M75" i="45"/>
  <c r="M78" i="45"/>
  <c r="M84" i="45"/>
  <c r="M85" i="45"/>
  <c r="M89" i="45"/>
  <c r="M92" i="45"/>
  <c r="M97" i="45"/>
  <c r="M98" i="45"/>
  <c r="M102" i="45"/>
  <c r="M105" i="45"/>
  <c r="M106" i="45"/>
  <c r="M109" i="45"/>
  <c r="M112" i="45"/>
  <c r="M113" i="45"/>
  <c r="M114" i="45"/>
  <c r="M117" i="45"/>
  <c r="M120" i="45"/>
  <c r="M121" i="45"/>
  <c r="M122" i="45"/>
  <c r="M125" i="45"/>
  <c r="M126" i="45"/>
  <c r="M127" i="45"/>
  <c r="M128" i="45"/>
  <c r="M129" i="45"/>
  <c r="M12" i="43"/>
  <c r="M13" i="43"/>
  <c r="M14" i="43"/>
  <c r="M15" i="43"/>
  <c r="M16" i="43"/>
  <c r="M19" i="43"/>
  <c r="M24" i="43"/>
  <c r="M26" i="43"/>
  <c r="M29" i="43"/>
  <c r="M30" i="43"/>
  <c r="M31" i="43"/>
  <c r="M34" i="43"/>
  <c r="M35" i="43"/>
  <c r="M36" i="43"/>
  <c r="M38" i="43"/>
  <c r="M39" i="43"/>
  <c r="M42" i="43"/>
  <c r="M43" i="43"/>
  <c r="M44" i="43"/>
  <c r="M45" i="43"/>
  <c r="M46" i="43"/>
  <c r="M50" i="43"/>
  <c r="M51" i="43"/>
  <c r="M52" i="43"/>
  <c r="M53" i="43"/>
  <c r="M54" i="43"/>
  <c r="M55" i="43"/>
  <c r="M56" i="43"/>
  <c r="M57" i="43"/>
  <c r="M58" i="43"/>
  <c r="M61" i="43"/>
  <c r="M62" i="43"/>
  <c r="M63" i="43"/>
  <c r="M64" i="43"/>
  <c r="M65" i="43"/>
  <c r="M66" i="43"/>
  <c r="M68" i="43"/>
  <c r="M69" i="43"/>
  <c r="M72" i="43"/>
  <c r="M75" i="43"/>
  <c r="M78" i="43"/>
  <c r="M84" i="43"/>
  <c r="M85" i="43"/>
  <c r="M89" i="43"/>
  <c r="M92" i="43"/>
  <c r="M97" i="43"/>
  <c r="M98" i="43"/>
  <c r="M102" i="43"/>
  <c r="M105" i="43"/>
  <c r="M106" i="43"/>
  <c r="M109" i="43"/>
  <c r="M112" i="43"/>
  <c r="M113" i="43"/>
  <c r="M114" i="43"/>
  <c r="M117" i="43"/>
  <c r="M120" i="43"/>
  <c r="M121" i="43"/>
  <c r="M122" i="43"/>
  <c r="M125" i="43"/>
  <c r="M126" i="43"/>
  <c r="N126" i="43"/>
  <c r="M127" i="43"/>
  <c r="M128" i="43"/>
  <c r="M129" i="43"/>
  <c r="M12" i="40"/>
  <c r="M13" i="40"/>
  <c r="M14" i="40"/>
  <c r="M15" i="40"/>
  <c r="M16" i="40"/>
  <c r="M19" i="40"/>
  <c r="M25" i="40"/>
  <c r="M26" i="40"/>
  <c r="M30" i="40"/>
  <c r="M31" i="40"/>
  <c r="M34" i="40"/>
  <c r="M35" i="40"/>
  <c r="M36" i="40"/>
  <c r="M38" i="40"/>
  <c r="M42" i="40"/>
  <c r="M43" i="40"/>
  <c r="M44" i="40"/>
  <c r="M45" i="40"/>
  <c r="M46" i="40"/>
  <c r="M50" i="40"/>
  <c r="M51" i="40"/>
  <c r="M52" i="40"/>
  <c r="M53" i="40"/>
  <c r="M54" i="40"/>
  <c r="M55" i="40"/>
  <c r="M56" i="40"/>
  <c r="M57" i="40"/>
  <c r="M58" i="40"/>
  <c r="M61" i="40"/>
  <c r="M62" i="40"/>
  <c r="M63" i="40"/>
  <c r="M64" i="40"/>
  <c r="M65" i="40"/>
  <c r="M66" i="40"/>
  <c r="M68" i="40"/>
  <c r="M69" i="40"/>
  <c r="M72" i="40"/>
  <c r="M75" i="40"/>
  <c r="M78" i="40"/>
  <c r="M84" i="40"/>
  <c r="M85" i="40"/>
  <c r="M89" i="40"/>
  <c r="M92" i="40"/>
  <c r="M97" i="40"/>
  <c r="M98" i="40"/>
  <c r="M102" i="40"/>
  <c r="M105" i="40"/>
  <c r="M106" i="40"/>
  <c r="M109" i="40"/>
  <c r="M112" i="40"/>
  <c r="M113" i="40"/>
  <c r="M114" i="40"/>
  <c r="M117" i="40"/>
  <c r="M120" i="40"/>
  <c r="M121" i="40"/>
  <c r="M122" i="40"/>
  <c r="M125" i="40"/>
  <c r="M126" i="40"/>
  <c r="M127" i="40"/>
  <c r="M128" i="40"/>
  <c r="M129" i="40"/>
  <c r="M12" i="39"/>
  <c r="M13" i="39"/>
  <c r="M14" i="39"/>
  <c r="M15" i="39"/>
  <c r="M16" i="39"/>
  <c r="M19" i="39"/>
  <c r="M24" i="39"/>
  <c r="M25" i="39"/>
  <c r="M26" i="39"/>
  <c r="M30" i="39"/>
  <c r="M31" i="39"/>
  <c r="M34" i="39"/>
  <c r="M35" i="39"/>
  <c r="M36" i="39"/>
  <c r="M38" i="39"/>
  <c r="M42" i="39"/>
  <c r="M43" i="39"/>
  <c r="M44" i="39"/>
  <c r="M45" i="39"/>
  <c r="M46" i="39"/>
  <c r="M50" i="39"/>
  <c r="M51" i="39"/>
  <c r="M52" i="39"/>
  <c r="M53" i="39"/>
  <c r="M54" i="39"/>
  <c r="M55" i="39"/>
  <c r="M56" i="39"/>
  <c r="M57" i="39"/>
  <c r="M58" i="39"/>
  <c r="M61" i="39"/>
  <c r="M62" i="39"/>
  <c r="M63" i="39"/>
  <c r="M64" i="39"/>
  <c r="M65" i="39"/>
  <c r="M66" i="39"/>
  <c r="M68" i="39"/>
  <c r="M69" i="39"/>
  <c r="M72" i="39"/>
  <c r="M75" i="39"/>
  <c r="M78" i="39"/>
  <c r="M84" i="39"/>
  <c r="M85" i="39"/>
  <c r="M89" i="39"/>
  <c r="M92" i="39"/>
  <c r="M97" i="39"/>
  <c r="M98" i="39"/>
  <c r="M102" i="39"/>
  <c r="M105" i="39"/>
  <c r="M106" i="39"/>
  <c r="M109" i="39"/>
  <c r="M112" i="39"/>
  <c r="M113" i="39"/>
  <c r="M114" i="39"/>
  <c r="M117" i="39"/>
  <c r="M120" i="39"/>
  <c r="M121" i="39"/>
  <c r="M122" i="39"/>
  <c r="M125" i="39"/>
  <c r="M126" i="39"/>
  <c r="M127" i="39"/>
  <c r="M128" i="39"/>
  <c r="M129" i="39"/>
  <c r="J12" i="45"/>
  <c r="J13" i="45"/>
  <c r="J14" i="45"/>
  <c r="J15" i="45"/>
  <c r="J16" i="45"/>
  <c r="J19" i="45"/>
  <c r="J26" i="45"/>
  <c r="J30" i="45"/>
  <c r="J31" i="45"/>
  <c r="J34" i="45"/>
  <c r="J35" i="45"/>
  <c r="J36" i="45"/>
  <c r="J38" i="45"/>
  <c r="J42" i="45"/>
  <c r="J43" i="45"/>
  <c r="J44" i="45"/>
  <c r="J45" i="45"/>
  <c r="J46" i="45"/>
  <c r="J49" i="45"/>
  <c r="J50" i="45"/>
  <c r="J51" i="45"/>
  <c r="J52" i="45"/>
  <c r="J53" i="45"/>
  <c r="J54" i="45"/>
  <c r="J55" i="45"/>
  <c r="J56" i="45"/>
  <c r="J57" i="45"/>
  <c r="J58" i="45"/>
  <c r="J61" i="45"/>
  <c r="J62" i="45"/>
  <c r="J63" i="45"/>
  <c r="J64" i="45"/>
  <c r="J65" i="45"/>
  <c r="J66" i="45"/>
  <c r="J67" i="45"/>
  <c r="J68" i="45"/>
  <c r="J69" i="45"/>
  <c r="J72" i="45"/>
  <c r="J75" i="45"/>
  <c r="J78" i="45"/>
  <c r="J84" i="45"/>
  <c r="J85" i="45"/>
  <c r="J89" i="45"/>
  <c r="J92" i="45"/>
  <c r="J97" i="45"/>
  <c r="J98" i="45"/>
  <c r="J102" i="45"/>
  <c r="J105" i="45"/>
  <c r="J106" i="45"/>
  <c r="J109" i="45"/>
  <c r="J112" i="45"/>
  <c r="J113" i="45"/>
  <c r="J114" i="45"/>
  <c r="J117" i="45"/>
  <c r="J120" i="45"/>
  <c r="J121" i="45"/>
  <c r="J122" i="45"/>
  <c r="J125" i="45"/>
  <c r="J126" i="45"/>
  <c r="J127" i="45"/>
  <c r="J128" i="45"/>
  <c r="J129" i="45"/>
  <c r="J12" i="43"/>
  <c r="J13" i="43"/>
  <c r="J14" i="43"/>
  <c r="J15" i="43"/>
  <c r="J16" i="43"/>
  <c r="J19" i="43"/>
  <c r="J26" i="43"/>
  <c r="J30" i="43"/>
  <c r="J31" i="43"/>
  <c r="J34" i="43"/>
  <c r="J35" i="43"/>
  <c r="J36" i="43"/>
  <c r="J38" i="43"/>
  <c r="J42" i="43"/>
  <c r="J43" i="43"/>
  <c r="J44" i="43"/>
  <c r="J45" i="43"/>
  <c r="J46" i="43"/>
  <c r="J49" i="43"/>
  <c r="J50" i="43"/>
  <c r="J51" i="43"/>
  <c r="J52" i="43"/>
  <c r="J53" i="43"/>
  <c r="J54" i="43"/>
  <c r="J55" i="43"/>
  <c r="J56" i="43"/>
  <c r="J57" i="43"/>
  <c r="J58" i="43"/>
  <c r="J61" i="43"/>
  <c r="J62" i="43"/>
  <c r="J63" i="43"/>
  <c r="J64" i="43"/>
  <c r="J65" i="43"/>
  <c r="J66" i="43"/>
  <c r="J67" i="43"/>
  <c r="J68" i="43"/>
  <c r="J69" i="43"/>
  <c r="J72" i="43"/>
  <c r="J75" i="43"/>
  <c r="J78" i="43"/>
  <c r="J84" i="43"/>
  <c r="J85" i="43"/>
  <c r="J89" i="43"/>
  <c r="J92" i="43"/>
  <c r="J97" i="43"/>
  <c r="J98" i="43"/>
  <c r="J102" i="43"/>
  <c r="J105" i="43"/>
  <c r="J106" i="43"/>
  <c r="J109" i="43"/>
  <c r="J112" i="43"/>
  <c r="J113" i="43"/>
  <c r="J114" i="43"/>
  <c r="J117" i="43"/>
  <c r="J120" i="43"/>
  <c r="J121" i="43"/>
  <c r="J122" i="43"/>
  <c r="J125" i="43"/>
  <c r="J126" i="43"/>
  <c r="J127" i="43"/>
  <c r="J128" i="43"/>
  <c r="J129" i="43"/>
  <c r="J12" i="40"/>
  <c r="J13" i="40"/>
  <c r="J14" i="40"/>
  <c r="J15" i="40"/>
  <c r="J16" i="40"/>
  <c r="J19" i="40"/>
  <c r="J26" i="40"/>
  <c r="J30" i="40"/>
  <c r="J31" i="40"/>
  <c r="J34" i="40"/>
  <c r="J35" i="40"/>
  <c r="J36" i="40"/>
  <c r="J38" i="40"/>
  <c r="J42" i="40"/>
  <c r="J43" i="40"/>
  <c r="J44" i="40"/>
  <c r="J45" i="40"/>
  <c r="J46" i="40"/>
  <c r="J49" i="40"/>
  <c r="J50" i="40"/>
  <c r="J51" i="40"/>
  <c r="J52" i="40"/>
  <c r="J53" i="40"/>
  <c r="J54" i="40"/>
  <c r="J55" i="40"/>
  <c r="J56" i="40"/>
  <c r="J57" i="40"/>
  <c r="J58" i="40"/>
  <c r="J61" i="40"/>
  <c r="J62" i="40"/>
  <c r="J63" i="40"/>
  <c r="J64" i="40"/>
  <c r="J65" i="40"/>
  <c r="J66" i="40"/>
  <c r="J67" i="40"/>
  <c r="J68" i="40"/>
  <c r="J69" i="40"/>
  <c r="J72" i="40"/>
  <c r="J75" i="40"/>
  <c r="J78" i="40"/>
  <c r="J84" i="40"/>
  <c r="J85" i="40"/>
  <c r="J89" i="40"/>
  <c r="J92" i="40"/>
  <c r="J97" i="40"/>
  <c r="J98" i="40"/>
  <c r="J102" i="40"/>
  <c r="J105" i="40"/>
  <c r="J106" i="40"/>
  <c r="J109" i="40"/>
  <c r="J112" i="40"/>
  <c r="J113" i="40"/>
  <c r="J114" i="40"/>
  <c r="J117" i="40"/>
  <c r="J120" i="40"/>
  <c r="J121" i="40"/>
  <c r="J122" i="40"/>
  <c r="J125" i="40"/>
  <c r="J126" i="40"/>
  <c r="J127" i="40"/>
  <c r="J128" i="40"/>
  <c r="J129" i="40"/>
  <c r="J12" i="39"/>
  <c r="J13" i="39"/>
  <c r="J14" i="39"/>
  <c r="J15" i="39"/>
  <c r="J16" i="39"/>
  <c r="J19" i="39"/>
  <c r="J26" i="39"/>
  <c r="J30" i="39"/>
  <c r="J31" i="39"/>
  <c r="J34" i="39"/>
  <c r="J35" i="39"/>
  <c r="J36" i="39"/>
  <c r="J38" i="39"/>
  <c r="J42" i="39"/>
  <c r="J43" i="39"/>
  <c r="J44" i="39"/>
  <c r="J45" i="39"/>
  <c r="J46" i="39"/>
  <c r="J49" i="39"/>
  <c r="J50" i="39"/>
  <c r="J51" i="39"/>
  <c r="J52" i="39"/>
  <c r="J53" i="39"/>
  <c r="J54" i="39"/>
  <c r="J55" i="39"/>
  <c r="J56" i="39"/>
  <c r="J57" i="39"/>
  <c r="J58" i="39"/>
  <c r="J61" i="39"/>
  <c r="J62" i="39"/>
  <c r="J63" i="39"/>
  <c r="J64" i="39"/>
  <c r="J65" i="39"/>
  <c r="J66" i="39"/>
  <c r="J67" i="39"/>
  <c r="J68" i="39"/>
  <c r="J69" i="39"/>
  <c r="J72" i="39"/>
  <c r="J75" i="39"/>
  <c r="J78" i="39"/>
  <c r="J84" i="39"/>
  <c r="J85" i="39"/>
  <c r="J89" i="39"/>
  <c r="J92" i="39"/>
  <c r="J97" i="39"/>
  <c r="J98" i="39"/>
  <c r="J102" i="39"/>
  <c r="J105" i="39"/>
  <c r="J106" i="39"/>
  <c r="J109" i="39"/>
  <c r="J112" i="39"/>
  <c r="J113" i="39"/>
  <c r="J114" i="39"/>
  <c r="J117" i="39"/>
  <c r="J120" i="39"/>
  <c r="J121" i="39"/>
  <c r="J122" i="39"/>
  <c r="J125" i="39"/>
  <c r="J126" i="39"/>
  <c r="J127" i="39"/>
  <c r="J128" i="39"/>
  <c r="J129" i="39"/>
  <c r="J12" i="33"/>
  <c r="J13" i="33"/>
  <c r="J14" i="33"/>
  <c r="J15" i="33"/>
  <c r="J16" i="33"/>
  <c r="J19" i="33"/>
  <c r="J26" i="33"/>
  <c r="J30" i="33"/>
  <c r="J31" i="33"/>
  <c r="J34" i="33"/>
  <c r="J35" i="33"/>
  <c r="J36" i="33"/>
  <c r="J38" i="33"/>
  <c r="J42" i="33"/>
  <c r="J43" i="33"/>
  <c r="J44" i="33"/>
  <c r="J45" i="33"/>
  <c r="J46" i="33"/>
  <c r="J49" i="33"/>
  <c r="J50" i="33"/>
  <c r="J51" i="33"/>
  <c r="J52" i="33"/>
  <c r="J53" i="33"/>
  <c r="J54" i="33"/>
  <c r="J55" i="33"/>
  <c r="J56" i="33"/>
  <c r="J57" i="33"/>
  <c r="J58" i="33"/>
  <c r="J61" i="33"/>
  <c r="J62" i="33"/>
  <c r="J63" i="33"/>
  <c r="J64" i="33"/>
  <c r="J65" i="33"/>
  <c r="J66" i="33"/>
  <c r="J67" i="33"/>
  <c r="J68" i="33"/>
  <c r="J69" i="33"/>
  <c r="J72" i="33"/>
  <c r="J75" i="33"/>
  <c r="J78" i="33"/>
  <c r="J84" i="33"/>
  <c r="J85" i="33"/>
  <c r="J89" i="33"/>
  <c r="J92" i="33"/>
  <c r="J97" i="33"/>
  <c r="J98" i="33"/>
  <c r="J102" i="33"/>
  <c r="J105" i="33"/>
  <c r="J106" i="33"/>
  <c r="J109" i="33"/>
  <c r="J112" i="33"/>
  <c r="J113" i="33"/>
  <c r="J114" i="33"/>
  <c r="J117" i="33"/>
  <c r="J120" i="33"/>
  <c r="J121" i="33"/>
  <c r="J122" i="33"/>
  <c r="J125" i="33"/>
  <c r="J126" i="33"/>
  <c r="J127" i="33"/>
  <c r="K127" i="33"/>
  <c r="J128" i="33"/>
  <c r="J129" i="33"/>
  <c r="G12" i="40"/>
  <c r="G13" i="40"/>
  <c r="G14" i="40"/>
  <c r="G15" i="40"/>
  <c r="G16" i="40"/>
  <c r="G19" i="40"/>
  <c r="G26" i="40"/>
  <c r="G28" i="40"/>
  <c r="G30" i="40"/>
  <c r="G31" i="40"/>
  <c r="G34" i="40"/>
  <c r="G35" i="40"/>
  <c r="G36" i="40"/>
  <c r="G38" i="40"/>
  <c r="G42" i="40"/>
  <c r="G43" i="40"/>
  <c r="G44" i="40"/>
  <c r="G45" i="40"/>
  <c r="G46" i="40"/>
  <c r="G49" i="40"/>
  <c r="G50" i="40"/>
  <c r="G51" i="40"/>
  <c r="G52" i="40"/>
  <c r="G53" i="40"/>
  <c r="G54" i="40"/>
  <c r="G55" i="40"/>
  <c r="G56" i="40"/>
  <c r="G57" i="40"/>
  <c r="G58" i="40"/>
  <c r="G61" i="40"/>
  <c r="G62" i="40"/>
  <c r="G63" i="40"/>
  <c r="G64" i="40"/>
  <c r="G65" i="40"/>
  <c r="G66" i="40"/>
  <c r="G67" i="40"/>
  <c r="G68" i="40"/>
  <c r="G69" i="40"/>
  <c r="G72" i="40"/>
  <c r="G75" i="40"/>
  <c r="G78" i="40"/>
  <c r="G81" i="40"/>
  <c r="G84" i="40"/>
  <c r="G85" i="40"/>
  <c r="G89" i="40"/>
  <c r="G92" i="40"/>
  <c r="G97" i="40"/>
  <c r="G98" i="40"/>
  <c r="G102" i="40"/>
  <c r="G105" i="40"/>
  <c r="G106" i="40"/>
  <c r="G109" i="40"/>
  <c r="G112" i="40"/>
  <c r="G113" i="40"/>
  <c r="G114" i="40"/>
  <c r="G117" i="40"/>
  <c r="G120" i="40"/>
  <c r="G121" i="40"/>
  <c r="G122" i="40"/>
  <c r="G125" i="40"/>
  <c r="G126" i="40"/>
  <c r="G127" i="40"/>
  <c r="G128" i="40"/>
  <c r="G129" i="40"/>
  <c r="G12" i="39"/>
  <c r="G13" i="39"/>
  <c r="G14" i="39"/>
  <c r="G15" i="39"/>
  <c r="G16" i="39"/>
  <c r="G19" i="39"/>
  <c r="G25" i="39"/>
  <c r="G26" i="39"/>
  <c r="G28" i="39"/>
  <c r="G30" i="39"/>
  <c r="G31" i="39"/>
  <c r="G34" i="39"/>
  <c r="G35" i="39"/>
  <c r="G36" i="39"/>
  <c r="G38" i="39"/>
  <c r="G42" i="39"/>
  <c r="G43" i="39"/>
  <c r="G44" i="39"/>
  <c r="G45" i="39"/>
  <c r="G46" i="39"/>
  <c r="G49" i="39"/>
  <c r="G50" i="39"/>
  <c r="G51" i="39"/>
  <c r="G52" i="39"/>
  <c r="G53" i="39"/>
  <c r="G54" i="39"/>
  <c r="G55" i="39"/>
  <c r="G56" i="39"/>
  <c r="G57" i="39"/>
  <c r="G58" i="39"/>
  <c r="G61" i="39"/>
  <c r="G62" i="39"/>
  <c r="G63" i="39"/>
  <c r="G64" i="39"/>
  <c r="G65" i="39"/>
  <c r="G66" i="39"/>
  <c r="G67" i="39"/>
  <c r="G68" i="39"/>
  <c r="G69" i="39"/>
  <c r="G72" i="39"/>
  <c r="G75" i="39"/>
  <c r="G78" i="39"/>
  <c r="G81" i="39"/>
  <c r="G84" i="39"/>
  <c r="G85" i="39"/>
  <c r="G89" i="39"/>
  <c r="G92" i="39"/>
  <c r="G97" i="39"/>
  <c r="G98" i="39"/>
  <c r="G102" i="39"/>
  <c r="G105" i="39"/>
  <c r="G106" i="39"/>
  <c r="G109" i="39"/>
  <c r="G112" i="39"/>
  <c r="G113" i="39"/>
  <c r="G114" i="39"/>
  <c r="G117" i="39"/>
  <c r="G120" i="39"/>
  <c r="G121" i="39"/>
  <c r="G122" i="39"/>
  <c r="G125" i="39"/>
  <c r="G126" i="39"/>
  <c r="G127" i="39"/>
  <c r="G128" i="39"/>
  <c r="G129" i="39"/>
  <c r="E104" i="23"/>
  <c r="D105" i="23"/>
  <c r="D108" i="23"/>
  <c r="C4" i="40"/>
  <c r="D108" i="40"/>
  <c r="E108" i="40"/>
  <c r="K68" i="25"/>
  <c r="J89" i="25"/>
  <c r="J88" i="25"/>
  <c r="J86" i="25"/>
  <c r="J81" i="25"/>
  <c r="J79" i="25"/>
  <c r="J78" i="25"/>
  <c r="J87" i="23"/>
  <c r="J86" i="23"/>
  <c r="J85" i="23"/>
  <c r="J84" i="23"/>
  <c r="K68" i="23"/>
  <c r="J79" i="23"/>
  <c r="J77" i="23"/>
  <c r="J76" i="23"/>
  <c r="E107" i="22"/>
  <c r="E105" i="22"/>
  <c r="G124" i="32"/>
  <c r="G125" i="32"/>
  <c r="H125" i="32"/>
  <c r="G126" i="32"/>
  <c r="G127" i="32"/>
  <c r="G125" i="31"/>
  <c r="G126" i="31"/>
  <c r="G127" i="31"/>
  <c r="G128" i="31"/>
  <c r="G125" i="34"/>
  <c r="G126" i="34"/>
  <c r="G127" i="34"/>
  <c r="G128" i="34"/>
  <c r="G129" i="34"/>
  <c r="G125" i="33"/>
  <c r="G126" i="33"/>
  <c r="G127" i="33"/>
  <c r="G128" i="33"/>
  <c r="G129" i="33"/>
  <c r="G120" i="34"/>
  <c r="G121" i="34"/>
  <c r="G122" i="34"/>
  <c r="G120" i="33"/>
  <c r="G121" i="33"/>
  <c r="G122" i="33"/>
  <c r="G119" i="32"/>
  <c r="G120" i="32"/>
  <c r="G121" i="32"/>
  <c r="G120" i="31"/>
  <c r="G121" i="31"/>
  <c r="G122" i="31"/>
  <c r="G112" i="34"/>
  <c r="G113" i="34"/>
  <c r="G114" i="34"/>
  <c r="G109" i="34"/>
  <c r="G117" i="34"/>
  <c r="G112" i="33"/>
  <c r="G113" i="33"/>
  <c r="G114" i="33"/>
  <c r="G109" i="33"/>
  <c r="G117" i="33"/>
  <c r="G111" i="32"/>
  <c r="G112" i="32"/>
  <c r="G113" i="32"/>
  <c r="G108" i="32"/>
  <c r="G116" i="32"/>
  <c r="G112" i="31"/>
  <c r="G113" i="31"/>
  <c r="G114" i="31"/>
  <c r="G109" i="31"/>
  <c r="G117" i="31"/>
  <c r="G102" i="34"/>
  <c r="G105" i="34"/>
  <c r="G106" i="34"/>
  <c r="G102" i="33"/>
  <c r="G105" i="33"/>
  <c r="G106" i="33"/>
  <c r="G101" i="32"/>
  <c r="G104" i="32"/>
  <c r="G105" i="32"/>
  <c r="G102" i="31"/>
  <c r="G105" i="31"/>
  <c r="G106" i="31"/>
  <c r="G97" i="34"/>
  <c r="G98" i="34"/>
  <c r="G97" i="33"/>
  <c r="G98" i="33"/>
  <c r="G96" i="32"/>
  <c r="G97" i="32"/>
  <c r="G97" i="31"/>
  <c r="G98" i="31"/>
  <c r="G89" i="34"/>
  <c r="G92" i="34"/>
  <c r="G89" i="33"/>
  <c r="G92" i="33"/>
  <c r="G88" i="32"/>
  <c r="G91" i="32"/>
  <c r="G89" i="31"/>
  <c r="G92" i="31"/>
  <c r="G84" i="34"/>
  <c r="G85" i="34"/>
  <c r="G84" i="33"/>
  <c r="G85" i="33"/>
  <c r="G83" i="32"/>
  <c r="G84" i="32"/>
  <c r="G84" i="31"/>
  <c r="G85" i="31"/>
  <c r="G72" i="34"/>
  <c r="G75" i="34"/>
  <c r="G78" i="34"/>
  <c r="G72" i="33"/>
  <c r="G75" i="33"/>
  <c r="G78" i="33"/>
  <c r="G71" i="32"/>
  <c r="G74" i="32"/>
  <c r="G77" i="32"/>
  <c r="G72" i="31"/>
  <c r="G75" i="31"/>
  <c r="G78" i="31"/>
  <c r="G61" i="34"/>
  <c r="G62" i="34"/>
  <c r="G63" i="34"/>
  <c r="G64" i="34"/>
  <c r="G65" i="34"/>
  <c r="G66" i="34"/>
  <c r="G67" i="34"/>
  <c r="G68" i="34"/>
  <c r="G69" i="34"/>
  <c r="G61" i="33"/>
  <c r="G62" i="33"/>
  <c r="G63" i="33"/>
  <c r="G64" i="33"/>
  <c r="G65" i="33"/>
  <c r="G66" i="33"/>
  <c r="G67" i="33"/>
  <c r="G68" i="33"/>
  <c r="G69" i="33"/>
  <c r="G60" i="32"/>
  <c r="G61" i="32"/>
  <c r="G62" i="32"/>
  <c r="G63" i="32"/>
  <c r="G64" i="32"/>
  <c r="G65" i="32"/>
  <c r="G66" i="32"/>
  <c r="G67" i="32"/>
  <c r="G68" i="32"/>
  <c r="G61" i="31"/>
  <c r="G62" i="31"/>
  <c r="G63" i="31"/>
  <c r="G64" i="31"/>
  <c r="G65" i="31"/>
  <c r="G66" i="31"/>
  <c r="G67" i="31"/>
  <c r="G68" i="31"/>
  <c r="G69" i="31"/>
  <c r="G49" i="34"/>
  <c r="G50" i="34"/>
  <c r="G51" i="34"/>
  <c r="G52" i="34"/>
  <c r="G53" i="34"/>
  <c r="G54" i="34"/>
  <c r="G55" i="34"/>
  <c r="G56" i="34"/>
  <c r="G57" i="34"/>
  <c r="G58" i="34"/>
  <c r="G49" i="33"/>
  <c r="G50" i="33"/>
  <c r="G51" i="33"/>
  <c r="G52" i="33"/>
  <c r="G53" i="33"/>
  <c r="G54" i="33"/>
  <c r="G55" i="33"/>
  <c r="G56" i="33"/>
  <c r="G57" i="33"/>
  <c r="G58" i="33"/>
  <c r="G48" i="32"/>
  <c r="G49" i="32"/>
  <c r="G50" i="32"/>
  <c r="G51" i="32"/>
  <c r="G52" i="32"/>
  <c r="G53" i="32"/>
  <c r="G54" i="32"/>
  <c r="G55" i="32"/>
  <c r="G56" i="32"/>
  <c r="G57" i="32"/>
  <c r="G49" i="31"/>
  <c r="G50" i="31"/>
  <c r="G51" i="31"/>
  <c r="G52" i="31"/>
  <c r="G53" i="31"/>
  <c r="G54" i="31"/>
  <c r="G55" i="31"/>
  <c r="G56" i="31"/>
  <c r="G57" i="31"/>
  <c r="G58" i="31"/>
  <c r="G42" i="34"/>
  <c r="G43" i="34"/>
  <c r="G44" i="34"/>
  <c r="G45" i="34"/>
  <c r="G46" i="34"/>
  <c r="G42" i="33"/>
  <c r="G43" i="33"/>
  <c r="G44" i="33"/>
  <c r="G45" i="33"/>
  <c r="G46" i="33"/>
  <c r="G41" i="32"/>
  <c r="G42" i="32"/>
  <c r="G43" i="32"/>
  <c r="G44" i="32"/>
  <c r="G45" i="32"/>
  <c r="G42" i="31"/>
  <c r="G43" i="31"/>
  <c r="G44" i="31"/>
  <c r="G45" i="31"/>
  <c r="G46" i="31"/>
  <c r="G19" i="34"/>
  <c r="G19" i="33"/>
  <c r="G18" i="32"/>
  <c r="G19" i="31"/>
  <c r="G12" i="34"/>
  <c r="G13" i="34"/>
  <c r="G14" i="34"/>
  <c r="G15" i="34"/>
  <c r="G16" i="34"/>
  <c r="G12" i="33"/>
  <c r="G13" i="33"/>
  <c r="G14" i="33"/>
  <c r="G15" i="33"/>
  <c r="G16" i="33"/>
  <c r="G11" i="32"/>
  <c r="G12" i="32"/>
  <c r="G13" i="32"/>
  <c r="G14" i="32"/>
  <c r="G15" i="32"/>
  <c r="G12" i="31"/>
  <c r="G13" i="31"/>
  <c r="G14" i="31"/>
  <c r="G15" i="31"/>
  <c r="G16" i="31"/>
  <c r="G26" i="33"/>
  <c r="G30" i="33"/>
  <c r="G31" i="33"/>
  <c r="G34" i="33"/>
  <c r="G35" i="33"/>
  <c r="G36" i="33"/>
  <c r="G38" i="33"/>
  <c r="G26" i="34"/>
  <c r="G30" i="34"/>
  <c r="G31" i="34"/>
  <c r="G34" i="34"/>
  <c r="G35" i="34"/>
  <c r="G36" i="34"/>
  <c r="G38" i="34"/>
  <c r="G33" i="32"/>
  <c r="G34" i="32"/>
  <c r="G35" i="32"/>
  <c r="G37" i="32"/>
  <c r="G34" i="31"/>
  <c r="G35" i="31"/>
  <c r="G36" i="31"/>
  <c r="G38" i="31"/>
  <c r="G25" i="32"/>
  <c r="G29" i="32"/>
  <c r="G30" i="32"/>
  <c r="G26" i="31"/>
  <c r="G30" i="31"/>
  <c r="G31" i="31"/>
  <c r="H36" i="20"/>
  <c r="P39" i="41"/>
  <c r="E36" i="20"/>
  <c r="M39" i="38"/>
  <c r="H26" i="20"/>
  <c r="P29" i="41"/>
  <c r="E26" i="20"/>
  <c r="M29" i="38"/>
  <c r="H24" i="20"/>
  <c r="P27" i="42"/>
  <c r="E24" i="20"/>
  <c r="M27" i="41"/>
  <c r="E22" i="20"/>
  <c r="M25" i="42"/>
  <c r="H21" i="20"/>
  <c r="P24" i="38"/>
  <c r="E21" i="20"/>
  <c r="M24" i="37"/>
  <c r="H36" i="21"/>
  <c r="J39" i="45"/>
  <c r="E36" i="21"/>
  <c r="G39" i="31"/>
  <c r="H26" i="21"/>
  <c r="J29" i="41"/>
  <c r="E26" i="21"/>
  <c r="G29" i="45"/>
  <c r="H24" i="21"/>
  <c r="J27" i="42"/>
  <c r="E24" i="21"/>
  <c r="G27" i="42"/>
  <c r="H21" i="21"/>
  <c r="J24" i="37"/>
  <c r="G24" i="33"/>
  <c r="H25" i="21"/>
  <c r="J28" i="41"/>
  <c r="E25" i="21"/>
  <c r="G28" i="34"/>
  <c r="E22" i="21"/>
  <c r="G25" i="34"/>
  <c r="A133" i="45"/>
  <c r="A133" i="43"/>
  <c r="A132" i="42"/>
  <c r="A132" i="41"/>
  <c r="A133" i="40"/>
  <c r="A133" i="39"/>
  <c r="A132" i="38"/>
  <c r="A131" i="37"/>
  <c r="A132" i="31"/>
  <c r="D128" i="41"/>
  <c r="D127" i="41"/>
  <c r="L77" i="22"/>
  <c r="G27" i="39"/>
  <c r="J29" i="45"/>
  <c r="G39" i="40"/>
  <c r="G29" i="40"/>
  <c r="J24" i="33"/>
  <c r="J27" i="39"/>
  <c r="J28" i="45"/>
  <c r="G39" i="38"/>
  <c r="G29" i="38"/>
  <c r="G27" i="41"/>
  <c r="G81" i="42"/>
  <c r="G25" i="42"/>
  <c r="J39" i="38"/>
  <c r="J29" i="38"/>
  <c r="J27" i="41"/>
  <c r="G24" i="43"/>
  <c r="G27" i="45"/>
  <c r="J39" i="40"/>
  <c r="J29" i="40"/>
  <c r="J24" i="43"/>
  <c r="J27" i="45"/>
  <c r="G28" i="38"/>
  <c r="G24" i="42"/>
  <c r="J28" i="38"/>
  <c r="J24" i="42"/>
  <c r="G24" i="39"/>
  <c r="G27" i="40"/>
  <c r="J28" i="40"/>
  <c r="G29" i="37"/>
  <c r="G27" i="38"/>
  <c r="G25" i="41"/>
  <c r="J39" i="37"/>
  <c r="J29" i="37"/>
  <c r="J27" i="38"/>
  <c r="G25" i="45"/>
  <c r="J39" i="33"/>
  <c r="J29" i="33"/>
  <c r="J24" i="39"/>
  <c r="J27" i="40"/>
  <c r="G28" i="37"/>
  <c r="G24" i="41"/>
  <c r="J28" i="37"/>
  <c r="J24" i="41"/>
  <c r="G39" i="43"/>
  <c r="G29" i="43"/>
  <c r="G24" i="45"/>
  <c r="G25" i="40"/>
  <c r="J28" i="33"/>
  <c r="J39" i="43"/>
  <c r="J29" i="43"/>
  <c r="G25" i="38"/>
  <c r="G39" i="42"/>
  <c r="G29" i="42"/>
  <c r="J27" i="37"/>
  <c r="J39" i="42"/>
  <c r="J29" i="42"/>
  <c r="G28" i="43"/>
  <c r="J24" i="45"/>
  <c r="G27" i="37"/>
  <c r="G39" i="39"/>
  <c r="G29" i="39"/>
  <c r="G24" i="40"/>
  <c r="J27" i="33"/>
  <c r="J28" i="43"/>
  <c r="G24" i="38"/>
  <c r="G28" i="42"/>
  <c r="J24" i="38"/>
  <c r="J28" i="42"/>
  <c r="G27" i="43"/>
  <c r="J39" i="39"/>
  <c r="J29" i="39"/>
  <c r="J24" i="40"/>
  <c r="J27" i="43"/>
  <c r="G81" i="37"/>
  <c r="G25" i="37"/>
  <c r="G39" i="41"/>
  <c r="G29" i="41"/>
  <c r="J39" i="41"/>
  <c r="G39" i="45"/>
  <c r="J28" i="39"/>
  <c r="G24" i="37"/>
  <c r="G25" i="43"/>
  <c r="G28" i="45"/>
  <c r="P24" i="39"/>
  <c r="P27" i="40"/>
  <c r="M27" i="39"/>
  <c r="M25" i="43"/>
  <c r="P29" i="43"/>
  <c r="P24" i="45"/>
  <c r="M24" i="42"/>
  <c r="P24" i="37"/>
  <c r="P27" i="39"/>
  <c r="M39" i="40"/>
  <c r="M29" i="40"/>
  <c r="M27" i="45"/>
  <c r="M39" i="37"/>
  <c r="M29" i="37"/>
  <c r="M27" i="38"/>
  <c r="M25" i="41"/>
  <c r="P39" i="38"/>
  <c r="P29" i="38"/>
  <c r="P27" i="41"/>
  <c r="P24" i="42"/>
  <c r="P29" i="39"/>
  <c r="P24" i="40"/>
  <c r="P27" i="43"/>
  <c r="M27" i="40"/>
  <c r="P39" i="45"/>
  <c r="P29" i="45"/>
  <c r="M27" i="37"/>
  <c r="M25" i="38"/>
  <c r="M39" i="42"/>
  <c r="M29" i="42"/>
  <c r="P39" i="37"/>
  <c r="P29" i="37"/>
  <c r="P27" i="38"/>
  <c r="P24" i="41"/>
  <c r="P29" i="40"/>
  <c r="P24" i="43"/>
  <c r="P27" i="45"/>
  <c r="M27" i="42"/>
  <c r="P29" i="42"/>
  <c r="M39" i="41"/>
  <c r="M29" i="41"/>
  <c r="P27" i="37"/>
  <c r="M39" i="39"/>
  <c r="M29" i="39"/>
  <c r="M24" i="40"/>
  <c r="M27" i="43"/>
  <c r="J80" i="23"/>
  <c r="K76" i="23"/>
  <c r="G26" i="32"/>
  <c r="G27" i="32"/>
  <c r="G28" i="31"/>
  <c r="G24" i="34"/>
  <c r="G27" i="33"/>
  <c r="G27" i="31"/>
  <c r="G28" i="33"/>
  <c r="G39" i="34"/>
  <c r="J82" i="25"/>
  <c r="K80" i="25"/>
  <c r="K78" i="23"/>
  <c r="G29" i="31"/>
  <c r="G28" i="32"/>
  <c r="G39" i="33"/>
  <c r="G29" i="33"/>
  <c r="G29" i="34"/>
  <c r="G25" i="31"/>
  <c r="G24" i="32"/>
  <c r="G38" i="32"/>
  <c r="G27" i="34"/>
  <c r="G25" i="33"/>
  <c r="G24" i="31"/>
  <c r="G23" i="32"/>
  <c r="E96" i="41"/>
  <c r="E88" i="41"/>
  <c r="E83" i="41"/>
  <c r="C4" i="42"/>
  <c r="C4" i="38"/>
  <c r="C4" i="32"/>
  <c r="H126" i="33"/>
  <c r="H126" i="39"/>
  <c r="H126" i="40"/>
  <c r="H126" i="45"/>
  <c r="H127" i="45"/>
  <c r="H126" i="34"/>
  <c r="E126" i="33"/>
  <c r="D75" i="42"/>
  <c r="D108" i="42"/>
  <c r="D77" i="38"/>
  <c r="D108" i="38"/>
  <c r="K79" i="23"/>
  <c r="K77" i="23"/>
  <c r="K80" i="23"/>
  <c r="D10" i="32"/>
  <c r="D107" i="32"/>
  <c r="K81" i="25"/>
  <c r="K79" i="25"/>
  <c r="K78" i="25"/>
  <c r="D71" i="42"/>
  <c r="D77" i="42"/>
  <c r="D78" i="42"/>
  <c r="D80" i="42"/>
  <c r="E80" i="42"/>
  <c r="D81" i="42"/>
  <c r="H81" i="42"/>
  <c r="B55" i="50"/>
  <c r="D72" i="42"/>
  <c r="H72" i="42"/>
  <c r="D83" i="42"/>
  <c r="D74" i="42"/>
  <c r="D78" i="38"/>
  <c r="H78" i="38"/>
  <c r="D80" i="38"/>
  <c r="D72" i="38"/>
  <c r="D74" i="38"/>
  <c r="D71" i="38"/>
  <c r="D75" i="38"/>
  <c r="H75" i="38"/>
  <c r="D81" i="38"/>
  <c r="H81" i="38"/>
  <c r="B35" i="50"/>
  <c r="D83" i="38"/>
  <c r="A135" i="21"/>
  <c r="A135" i="20"/>
  <c r="H127" i="43"/>
  <c r="H127" i="34"/>
  <c r="H127" i="33"/>
  <c r="H126" i="31"/>
  <c r="H126" i="38"/>
  <c r="K126" i="42"/>
  <c r="H126" i="42"/>
  <c r="Q126" i="42"/>
  <c r="Q128" i="41"/>
  <c r="J126" i="32"/>
  <c r="J127" i="32"/>
  <c r="J127" i="31"/>
  <c r="J128" i="31"/>
  <c r="D128" i="42"/>
  <c r="D127" i="42"/>
  <c r="D128" i="31"/>
  <c r="Q128" i="31"/>
  <c r="H126" i="37"/>
  <c r="H127" i="40"/>
  <c r="H127" i="39"/>
  <c r="Q126" i="45"/>
  <c r="Q127" i="45"/>
  <c r="Q126" i="43"/>
  <c r="Q127" i="43"/>
  <c r="Q126" i="41"/>
  <c r="N126" i="45"/>
  <c r="N127" i="45"/>
  <c r="N127" i="43"/>
  <c r="Q97" i="40"/>
  <c r="Q98" i="40"/>
  <c r="Q126" i="40"/>
  <c r="Q127" i="40"/>
  <c r="Q126" i="39"/>
  <c r="Q127" i="39"/>
  <c r="Q78" i="38"/>
  <c r="Q126" i="38"/>
  <c r="N97" i="40"/>
  <c r="N98" i="40"/>
  <c r="N126" i="40"/>
  <c r="N127" i="40"/>
  <c r="N126" i="39"/>
  <c r="N127" i="39"/>
  <c r="N72" i="38"/>
  <c r="N78" i="38"/>
  <c r="N126" i="37"/>
  <c r="D128" i="33"/>
  <c r="H128" i="33"/>
  <c r="P12" i="34"/>
  <c r="P13" i="34"/>
  <c r="P14" i="34"/>
  <c r="P15" i="34"/>
  <c r="P16" i="34"/>
  <c r="P19" i="34"/>
  <c r="P26" i="34"/>
  <c r="P30" i="34"/>
  <c r="P31" i="34"/>
  <c r="P34" i="34"/>
  <c r="P35" i="34"/>
  <c r="P36" i="34"/>
  <c r="P38" i="34"/>
  <c r="P42" i="34"/>
  <c r="P43" i="34"/>
  <c r="P44" i="34"/>
  <c r="P45" i="34"/>
  <c r="P46" i="34"/>
  <c r="P49" i="34"/>
  <c r="P50" i="34"/>
  <c r="P51" i="34"/>
  <c r="P52" i="34"/>
  <c r="P53" i="34"/>
  <c r="P54" i="34"/>
  <c r="P55" i="34"/>
  <c r="P56" i="34"/>
  <c r="P57" i="34"/>
  <c r="P58" i="34"/>
  <c r="P61" i="34"/>
  <c r="P63" i="34"/>
  <c r="P64" i="34"/>
  <c r="P65" i="34"/>
  <c r="P66" i="34"/>
  <c r="P67" i="34"/>
  <c r="P68" i="34"/>
  <c r="P69" i="34"/>
  <c r="P72" i="34"/>
  <c r="P75" i="34"/>
  <c r="P78" i="34"/>
  <c r="P84" i="34"/>
  <c r="P85" i="34"/>
  <c r="P89" i="34"/>
  <c r="P92" i="34"/>
  <c r="P97" i="34"/>
  <c r="P98" i="34"/>
  <c r="P102" i="34"/>
  <c r="P105" i="34"/>
  <c r="P106" i="34"/>
  <c r="P109" i="34"/>
  <c r="P113" i="34"/>
  <c r="P114" i="34"/>
  <c r="P117" i="34"/>
  <c r="P120" i="34"/>
  <c r="P121" i="34"/>
  <c r="P122" i="34"/>
  <c r="P125" i="34"/>
  <c r="P126" i="34"/>
  <c r="Q126" i="34"/>
  <c r="P127" i="34"/>
  <c r="Q127" i="34"/>
  <c r="P128" i="34"/>
  <c r="P129" i="34"/>
  <c r="P12" i="33"/>
  <c r="P13" i="33"/>
  <c r="P14" i="33"/>
  <c r="P15" i="33"/>
  <c r="P16" i="33"/>
  <c r="P19" i="33"/>
  <c r="P26" i="33"/>
  <c r="P30" i="33"/>
  <c r="P31" i="33"/>
  <c r="P34" i="33"/>
  <c r="P35" i="33"/>
  <c r="P36" i="33"/>
  <c r="P38" i="33"/>
  <c r="P42" i="33"/>
  <c r="P43" i="33"/>
  <c r="P44" i="33"/>
  <c r="P45" i="33"/>
  <c r="P46" i="33"/>
  <c r="P49" i="33"/>
  <c r="P50" i="33"/>
  <c r="P51" i="33"/>
  <c r="P52" i="33"/>
  <c r="P53" i="33"/>
  <c r="P54" i="33"/>
  <c r="P55" i="33"/>
  <c r="P56" i="33"/>
  <c r="P57" i="33"/>
  <c r="P58" i="33"/>
  <c r="P61" i="33"/>
  <c r="P63" i="33"/>
  <c r="P64" i="33"/>
  <c r="P65" i="33"/>
  <c r="P66" i="33"/>
  <c r="P67" i="33"/>
  <c r="P68" i="33"/>
  <c r="P69" i="33"/>
  <c r="P72" i="33"/>
  <c r="P75" i="33"/>
  <c r="P78" i="33"/>
  <c r="P84" i="33"/>
  <c r="P85" i="33"/>
  <c r="P89" i="33"/>
  <c r="P92" i="33"/>
  <c r="P97" i="33"/>
  <c r="P98" i="33"/>
  <c r="P102" i="33"/>
  <c r="P105" i="33"/>
  <c r="P106" i="33"/>
  <c r="P109" i="33"/>
  <c r="P113" i="33"/>
  <c r="P114" i="33"/>
  <c r="P117" i="33"/>
  <c r="P120" i="33"/>
  <c r="P121" i="33"/>
  <c r="P122" i="33"/>
  <c r="P125" i="33"/>
  <c r="P126" i="33"/>
  <c r="Q126" i="33"/>
  <c r="P127" i="33"/>
  <c r="Q127" i="33"/>
  <c r="P128" i="33"/>
  <c r="P129" i="33"/>
  <c r="P11" i="32"/>
  <c r="P12" i="32"/>
  <c r="P13" i="32"/>
  <c r="P14" i="32"/>
  <c r="P15" i="32"/>
  <c r="P18" i="32"/>
  <c r="P25" i="32"/>
  <c r="P29" i="32"/>
  <c r="P30" i="32"/>
  <c r="P33" i="32"/>
  <c r="P34" i="32"/>
  <c r="P35" i="32"/>
  <c r="P37" i="32"/>
  <c r="P41" i="32"/>
  <c r="P42" i="32"/>
  <c r="P43" i="32"/>
  <c r="P44" i="32"/>
  <c r="P45" i="32"/>
  <c r="P48" i="32"/>
  <c r="P49" i="32"/>
  <c r="P50" i="32"/>
  <c r="P51" i="32"/>
  <c r="P52" i="32"/>
  <c r="P53" i="32"/>
  <c r="P54" i="32"/>
  <c r="P55" i="32"/>
  <c r="P56" i="32"/>
  <c r="P57" i="32"/>
  <c r="P60" i="32"/>
  <c r="P62" i="32"/>
  <c r="P63" i="32"/>
  <c r="P64" i="32"/>
  <c r="P65" i="32"/>
  <c r="P66" i="32"/>
  <c r="P67" i="32"/>
  <c r="P68" i="32"/>
  <c r="P71" i="32"/>
  <c r="P74" i="32"/>
  <c r="P77" i="32"/>
  <c r="P83" i="32"/>
  <c r="P84" i="32"/>
  <c r="P88" i="32"/>
  <c r="P91" i="32"/>
  <c r="P96" i="32"/>
  <c r="P97" i="32"/>
  <c r="P101" i="32"/>
  <c r="P104" i="32"/>
  <c r="P105" i="32"/>
  <c r="P108" i="32"/>
  <c r="P112" i="32"/>
  <c r="P113" i="32"/>
  <c r="P116" i="32"/>
  <c r="P119" i="32"/>
  <c r="P120" i="32"/>
  <c r="P121" i="32"/>
  <c r="P124" i="32"/>
  <c r="P125" i="32"/>
  <c r="Q125" i="32"/>
  <c r="M12" i="34"/>
  <c r="M13" i="34"/>
  <c r="M14" i="34"/>
  <c r="M15" i="34"/>
  <c r="M16" i="34"/>
  <c r="M19" i="34"/>
  <c r="M26" i="34"/>
  <c r="M30" i="34"/>
  <c r="M31" i="34"/>
  <c r="M34" i="34"/>
  <c r="M35" i="34"/>
  <c r="M36" i="34"/>
  <c r="M38" i="34"/>
  <c r="M42" i="34"/>
  <c r="M43" i="34"/>
  <c r="M44" i="34"/>
  <c r="M45" i="34"/>
  <c r="M46" i="34"/>
  <c r="M50" i="34"/>
  <c r="M51" i="34"/>
  <c r="M52" i="34"/>
  <c r="M53" i="34"/>
  <c r="M54" i="34"/>
  <c r="M55" i="34"/>
  <c r="M56" i="34"/>
  <c r="M57" i="34"/>
  <c r="M58" i="34"/>
  <c r="M61" i="34"/>
  <c r="M62" i="34"/>
  <c r="M63" i="34"/>
  <c r="M64" i="34"/>
  <c r="M65" i="34"/>
  <c r="M66" i="34"/>
  <c r="M68" i="34"/>
  <c r="M69" i="34"/>
  <c r="M72" i="34"/>
  <c r="M75" i="34"/>
  <c r="M78" i="34"/>
  <c r="M84" i="34"/>
  <c r="M85" i="34"/>
  <c r="M89" i="34"/>
  <c r="M92" i="34"/>
  <c r="M97" i="34"/>
  <c r="M98" i="34"/>
  <c r="M102" i="34"/>
  <c r="M105" i="34"/>
  <c r="M106" i="34"/>
  <c r="M112" i="34"/>
  <c r="M109" i="34"/>
  <c r="M113" i="34"/>
  <c r="M114" i="34"/>
  <c r="M117" i="34"/>
  <c r="M120" i="34"/>
  <c r="M121" i="34"/>
  <c r="M122" i="34"/>
  <c r="M125" i="34"/>
  <c r="M126" i="34"/>
  <c r="N126" i="34"/>
  <c r="M127" i="34"/>
  <c r="N127" i="34"/>
  <c r="M128" i="34"/>
  <c r="M129" i="34"/>
  <c r="M12" i="33"/>
  <c r="M13" i="33"/>
  <c r="M14" i="33"/>
  <c r="M15" i="33"/>
  <c r="M16" i="33"/>
  <c r="M19" i="33"/>
  <c r="M26" i="33"/>
  <c r="M30" i="33"/>
  <c r="M31" i="33"/>
  <c r="M34" i="33"/>
  <c r="M35" i="33"/>
  <c r="M36" i="33"/>
  <c r="M38" i="33"/>
  <c r="M42" i="33"/>
  <c r="M43" i="33"/>
  <c r="M44" i="33"/>
  <c r="M45" i="33"/>
  <c r="M46" i="33"/>
  <c r="M50" i="33"/>
  <c r="M51" i="33"/>
  <c r="M52" i="33"/>
  <c r="M53" i="33"/>
  <c r="M54" i="33"/>
  <c r="M55" i="33"/>
  <c r="M56" i="33"/>
  <c r="M57" i="33"/>
  <c r="M58" i="33"/>
  <c r="M61" i="33"/>
  <c r="M62" i="33"/>
  <c r="M63" i="33"/>
  <c r="M64" i="33"/>
  <c r="M65" i="33"/>
  <c r="M66" i="33"/>
  <c r="M68" i="33"/>
  <c r="M69" i="33"/>
  <c r="M72" i="33"/>
  <c r="M75" i="33"/>
  <c r="M78" i="33"/>
  <c r="M84" i="33"/>
  <c r="M85" i="33"/>
  <c r="M89" i="33"/>
  <c r="M92" i="33"/>
  <c r="M97" i="33"/>
  <c r="M98" i="33"/>
  <c r="M102" i="33"/>
  <c r="M105" i="33"/>
  <c r="M106" i="33"/>
  <c r="M112" i="33"/>
  <c r="M109" i="33"/>
  <c r="M113" i="33"/>
  <c r="M114" i="33"/>
  <c r="M117" i="33"/>
  <c r="M120" i="33"/>
  <c r="M121" i="33"/>
  <c r="M122" i="33"/>
  <c r="M125" i="33"/>
  <c r="M126" i="33"/>
  <c r="N126" i="33"/>
  <c r="M127" i="33"/>
  <c r="N127" i="33"/>
  <c r="M128" i="33"/>
  <c r="M129" i="33"/>
  <c r="M11" i="32"/>
  <c r="M12" i="32"/>
  <c r="M13" i="32"/>
  <c r="M14" i="32"/>
  <c r="M15" i="32"/>
  <c r="M18" i="32"/>
  <c r="M25" i="32"/>
  <c r="M29" i="32"/>
  <c r="M30" i="32"/>
  <c r="M33" i="32"/>
  <c r="M34" i="32"/>
  <c r="M35" i="32"/>
  <c r="M37" i="32"/>
  <c r="M41" i="32"/>
  <c r="M42" i="32"/>
  <c r="M43" i="32"/>
  <c r="M44" i="32"/>
  <c r="M45" i="32"/>
  <c r="M49" i="32"/>
  <c r="M50" i="32"/>
  <c r="M51" i="32"/>
  <c r="M52" i="32"/>
  <c r="M53" i="32"/>
  <c r="M54" i="32"/>
  <c r="M55" i="32"/>
  <c r="M56" i="32"/>
  <c r="M57" i="32"/>
  <c r="M60" i="32"/>
  <c r="M61" i="32"/>
  <c r="M62" i="32"/>
  <c r="M63" i="32"/>
  <c r="M64" i="32"/>
  <c r="M65" i="32"/>
  <c r="M67" i="32"/>
  <c r="M68" i="32"/>
  <c r="M71" i="32"/>
  <c r="M74" i="32"/>
  <c r="M77" i="32"/>
  <c r="M83" i="32"/>
  <c r="M84" i="32"/>
  <c r="M88" i="32"/>
  <c r="M91" i="32"/>
  <c r="M96" i="32"/>
  <c r="M97" i="32"/>
  <c r="M101" i="32"/>
  <c r="M104" i="32"/>
  <c r="M105" i="32"/>
  <c r="M111" i="32"/>
  <c r="M108" i="32"/>
  <c r="M112" i="32"/>
  <c r="M113" i="32"/>
  <c r="M116" i="32"/>
  <c r="M119" i="32"/>
  <c r="M120" i="32"/>
  <c r="M121" i="32"/>
  <c r="M124" i="32"/>
  <c r="M125" i="32"/>
  <c r="M12" i="31"/>
  <c r="M13" i="31"/>
  <c r="M14" i="31"/>
  <c r="M15" i="31"/>
  <c r="M16" i="31"/>
  <c r="M19" i="31"/>
  <c r="M26" i="31"/>
  <c r="M30" i="31"/>
  <c r="M31" i="31"/>
  <c r="M34" i="31"/>
  <c r="M35" i="31"/>
  <c r="M36" i="31"/>
  <c r="M38" i="31"/>
  <c r="M42" i="31"/>
  <c r="M43" i="31"/>
  <c r="M44" i="31"/>
  <c r="M45" i="31"/>
  <c r="M46" i="31"/>
  <c r="M50" i="31"/>
  <c r="M51" i="31"/>
  <c r="M52" i="31"/>
  <c r="M53" i="31"/>
  <c r="M54" i="31"/>
  <c r="M55" i="31"/>
  <c r="M56" i="31"/>
  <c r="M57" i="31"/>
  <c r="M58" i="31"/>
  <c r="M61" i="31"/>
  <c r="M62" i="31"/>
  <c r="M63" i="31"/>
  <c r="M64" i="31"/>
  <c r="M65" i="31"/>
  <c r="M66" i="31"/>
  <c r="M68" i="31"/>
  <c r="M69" i="31"/>
  <c r="M72" i="31"/>
  <c r="M75" i="31"/>
  <c r="M78" i="31"/>
  <c r="M84" i="31"/>
  <c r="M85" i="31"/>
  <c r="M89" i="31"/>
  <c r="M92" i="31"/>
  <c r="M97" i="31"/>
  <c r="M98" i="31"/>
  <c r="M102" i="31"/>
  <c r="M105" i="31"/>
  <c r="M106" i="31"/>
  <c r="M112" i="31"/>
  <c r="M109" i="31"/>
  <c r="M113" i="31"/>
  <c r="M114" i="31"/>
  <c r="M117" i="31"/>
  <c r="M120" i="31"/>
  <c r="M121" i="31"/>
  <c r="M122" i="31"/>
  <c r="M125" i="31"/>
  <c r="M126" i="31"/>
  <c r="K126" i="45"/>
  <c r="K127" i="45"/>
  <c r="K126" i="43"/>
  <c r="K127" i="43"/>
  <c r="K75" i="42"/>
  <c r="K78" i="42"/>
  <c r="P12" i="31"/>
  <c r="P13" i="31"/>
  <c r="P14" i="31"/>
  <c r="P15" i="31"/>
  <c r="P16" i="31"/>
  <c r="P19" i="31"/>
  <c r="P26" i="31"/>
  <c r="P30" i="31"/>
  <c r="P31" i="31"/>
  <c r="P34" i="31"/>
  <c r="P35" i="31"/>
  <c r="P36" i="31"/>
  <c r="P38" i="31"/>
  <c r="P42" i="31"/>
  <c r="P43" i="31"/>
  <c r="P44" i="31"/>
  <c r="P45" i="31"/>
  <c r="P46" i="31"/>
  <c r="P49" i="31"/>
  <c r="P50" i="31"/>
  <c r="P51" i="31"/>
  <c r="P52" i="31"/>
  <c r="P53" i="31"/>
  <c r="P54" i="31"/>
  <c r="P55" i="31"/>
  <c r="P56" i="31"/>
  <c r="P57" i="31"/>
  <c r="P58" i="31"/>
  <c r="P61" i="31"/>
  <c r="P63" i="31"/>
  <c r="P64" i="31"/>
  <c r="P65" i="31"/>
  <c r="P66" i="31"/>
  <c r="P67" i="31"/>
  <c r="P68" i="31"/>
  <c r="P69" i="31"/>
  <c r="P72" i="31"/>
  <c r="P75" i="31"/>
  <c r="P78" i="31"/>
  <c r="P84" i="31"/>
  <c r="P85" i="31"/>
  <c r="P89" i="31"/>
  <c r="P92" i="31"/>
  <c r="P97" i="31"/>
  <c r="P98" i="31"/>
  <c r="P102" i="31"/>
  <c r="P105" i="31"/>
  <c r="P106" i="31"/>
  <c r="P109" i="31"/>
  <c r="P113" i="31"/>
  <c r="P114" i="31"/>
  <c r="P117" i="31"/>
  <c r="P120" i="31"/>
  <c r="P121" i="31"/>
  <c r="P122" i="31"/>
  <c r="P125" i="31"/>
  <c r="P126" i="31"/>
  <c r="Q126" i="31"/>
  <c r="K97" i="40"/>
  <c r="K98" i="40"/>
  <c r="K126" i="40"/>
  <c r="K127" i="40"/>
  <c r="K126" i="39"/>
  <c r="K127" i="39"/>
  <c r="K72" i="38"/>
  <c r="K126" i="38"/>
  <c r="J12" i="34"/>
  <c r="J13" i="34"/>
  <c r="J14" i="34"/>
  <c r="J15" i="34"/>
  <c r="J16" i="34"/>
  <c r="J19" i="34"/>
  <c r="J26" i="34"/>
  <c r="J30" i="34"/>
  <c r="J31" i="34"/>
  <c r="J34" i="34"/>
  <c r="J35" i="34"/>
  <c r="J36" i="34"/>
  <c r="J38" i="34"/>
  <c r="J42" i="34"/>
  <c r="J43" i="34"/>
  <c r="J44" i="34"/>
  <c r="J45" i="34"/>
  <c r="J46" i="34"/>
  <c r="J49" i="34"/>
  <c r="J50" i="34"/>
  <c r="J51" i="34"/>
  <c r="J52" i="34"/>
  <c r="J53" i="34"/>
  <c r="J54" i="34"/>
  <c r="J55" i="34"/>
  <c r="J56" i="34"/>
  <c r="J57" i="34"/>
  <c r="J58" i="34"/>
  <c r="J61" i="34"/>
  <c r="J62" i="34"/>
  <c r="J63" i="34"/>
  <c r="J64" i="34"/>
  <c r="J65" i="34"/>
  <c r="J66" i="34"/>
  <c r="J67" i="34"/>
  <c r="J68" i="34"/>
  <c r="J69" i="34"/>
  <c r="J72" i="34"/>
  <c r="J75" i="34"/>
  <c r="J78" i="34"/>
  <c r="J84" i="34"/>
  <c r="J85" i="34"/>
  <c r="J89" i="34"/>
  <c r="J92" i="34"/>
  <c r="J97" i="34"/>
  <c r="J98" i="34"/>
  <c r="J102" i="34"/>
  <c r="J105" i="34"/>
  <c r="J106" i="34"/>
  <c r="J112" i="34"/>
  <c r="J109" i="34"/>
  <c r="J113" i="34"/>
  <c r="J114" i="34"/>
  <c r="J117" i="34"/>
  <c r="J120" i="34"/>
  <c r="J121" i="34"/>
  <c r="J122" i="34"/>
  <c r="J125" i="34"/>
  <c r="J126" i="34"/>
  <c r="K126" i="34"/>
  <c r="J127" i="34"/>
  <c r="K127" i="34"/>
  <c r="J128" i="34"/>
  <c r="J129" i="34"/>
  <c r="K126" i="33"/>
  <c r="K128" i="33"/>
  <c r="J125" i="32"/>
  <c r="K125" i="32"/>
  <c r="J124" i="32"/>
  <c r="J121" i="32"/>
  <c r="J120" i="32"/>
  <c r="J119" i="32"/>
  <c r="J116" i="32"/>
  <c r="J113" i="32"/>
  <c r="J112" i="32"/>
  <c r="J108" i="32"/>
  <c r="J111" i="32"/>
  <c r="J105" i="32"/>
  <c r="J104" i="32"/>
  <c r="J101" i="32"/>
  <c r="J97" i="32"/>
  <c r="J96" i="32"/>
  <c r="J91" i="32"/>
  <c r="J88" i="32"/>
  <c r="J84" i="32"/>
  <c r="J83" i="32"/>
  <c r="J77" i="32"/>
  <c r="J74" i="32"/>
  <c r="J71" i="32"/>
  <c r="J68" i="32"/>
  <c r="J67" i="32"/>
  <c r="J66" i="32"/>
  <c r="J65" i="32"/>
  <c r="J64" i="32"/>
  <c r="J63" i="32"/>
  <c r="J62" i="32"/>
  <c r="J61" i="32"/>
  <c r="J60" i="32"/>
  <c r="J57" i="32"/>
  <c r="J56" i="32"/>
  <c r="J55" i="32"/>
  <c r="J54" i="32"/>
  <c r="J53" i="32"/>
  <c r="J52" i="32"/>
  <c r="J51" i="32"/>
  <c r="J50" i="32"/>
  <c r="J49" i="32"/>
  <c r="J48" i="32"/>
  <c r="J45" i="32"/>
  <c r="J44" i="32"/>
  <c r="J43" i="32"/>
  <c r="J42" i="32"/>
  <c r="J41" i="32"/>
  <c r="J37" i="32"/>
  <c r="J35" i="32"/>
  <c r="J34" i="32"/>
  <c r="J33" i="32"/>
  <c r="J30" i="32"/>
  <c r="J29" i="32"/>
  <c r="J25" i="32"/>
  <c r="J18" i="32"/>
  <c r="J15" i="32"/>
  <c r="J14" i="32"/>
  <c r="J13" i="32"/>
  <c r="J12" i="32"/>
  <c r="J11" i="32"/>
  <c r="J12" i="31"/>
  <c r="J13" i="31"/>
  <c r="J14" i="31"/>
  <c r="J15" i="31"/>
  <c r="J16" i="31"/>
  <c r="J19" i="31"/>
  <c r="J26" i="31"/>
  <c r="J30" i="31"/>
  <c r="J31" i="31"/>
  <c r="J34" i="31"/>
  <c r="J35" i="31"/>
  <c r="J36" i="31"/>
  <c r="J38" i="31"/>
  <c r="J42" i="31"/>
  <c r="J43" i="31"/>
  <c r="J44" i="31"/>
  <c r="J45" i="31"/>
  <c r="J46" i="31"/>
  <c r="J49" i="31"/>
  <c r="J50" i="31"/>
  <c r="J51" i="31"/>
  <c r="J52" i="31"/>
  <c r="J53" i="31"/>
  <c r="J54" i="31"/>
  <c r="J55" i="31"/>
  <c r="J56" i="31"/>
  <c r="J57" i="31"/>
  <c r="J58" i="31"/>
  <c r="J61" i="31"/>
  <c r="J62" i="31"/>
  <c r="J63" i="31"/>
  <c r="J64" i="31"/>
  <c r="J65" i="31"/>
  <c r="J66" i="31"/>
  <c r="J67" i="31"/>
  <c r="J68" i="31"/>
  <c r="J69" i="31"/>
  <c r="J72" i="31"/>
  <c r="J75" i="31"/>
  <c r="J78" i="31"/>
  <c r="J84" i="31"/>
  <c r="J85" i="31"/>
  <c r="J89" i="31"/>
  <c r="J92" i="31"/>
  <c r="J97" i="31"/>
  <c r="J98" i="31"/>
  <c r="J102" i="31"/>
  <c r="J105" i="31"/>
  <c r="J106" i="31"/>
  <c r="J112" i="31"/>
  <c r="J109" i="31"/>
  <c r="J113" i="31"/>
  <c r="J114" i="31"/>
  <c r="J117" i="31"/>
  <c r="J120" i="31"/>
  <c r="J121" i="31"/>
  <c r="J122" i="31"/>
  <c r="J125" i="31"/>
  <c r="J126" i="31"/>
  <c r="K126" i="31"/>
  <c r="E96" i="45"/>
  <c r="E88" i="45"/>
  <c r="D129" i="45"/>
  <c r="H129" i="45"/>
  <c r="D128" i="45"/>
  <c r="E126" i="45"/>
  <c r="F111" i="45"/>
  <c r="F74" i="45"/>
  <c r="C4" i="45"/>
  <c r="E96" i="43"/>
  <c r="E88" i="43"/>
  <c r="D129" i="43"/>
  <c r="H129" i="43"/>
  <c r="D128" i="43"/>
  <c r="K128" i="43"/>
  <c r="E126" i="43"/>
  <c r="C4" i="43"/>
  <c r="E96" i="42"/>
  <c r="D96" i="42"/>
  <c r="E88" i="42"/>
  <c r="D88" i="42"/>
  <c r="D84" i="42"/>
  <c r="H78" i="42"/>
  <c r="H75" i="42"/>
  <c r="D68" i="42"/>
  <c r="H68" i="42"/>
  <c r="F23" i="42"/>
  <c r="D14" i="42"/>
  <c r="H14" i="42"/>
  <c r="F11" i="42"/>
  <c r="F104" i="42"/>
  <c r="E126" i="41"/>
  <c r="C4" i="41"/>
  <c r="D108" i="41"/>
  <c r="E96" i="40"/>
  <c r="D96" i="40"/>
  <c r="E88" i="40"/>
  <c r="D129" i="40"/>
  <c r="H129" i="40"/>
  <c r="D128" i="40"/>
  <c r="H128" i="40"/>
  <c r="E126" i="40"/>
  <c r="D67" i="40"/>
  <c r="H67" i="40"/>
  <c r="E96" i="39"/>
  <c r="E88" i="39"/>
  <c r="D129" i="39"/>
  <c r="H129" i="39"/>
  <c r="D128" i="39"/>
  <c r="H128" i="39"/>
  <c r="E126" i="39"/>
  <c r="C4" i="39"/>
  <c r="E96" i="38"/>
  <c r="D96" i="38"/>
  <c r="E88" i="38"/>
  <c r="D88" i="38"/>
  <c r="D128" i="38"/>
  <c r="Q128" i="38"/>
  <c r="D127" i="38"/>
  <c r="H72" i="38"/>
  <c r="F104" i="38"/>
  <c r="E96" i="37"/>
  <c r="E88" i="37"/>
  <c r="D128" i="37"/>
  <c r="D127" i="37"/>
  <c r="E126" i="37"/>
  <c r="C4" i="37"/>
  <c r="D108" i="37"/>
  <c r="C4" i="34"/>
  <c r="D19" i="34"/>
  <c r="H19" i="34"/>
  <c r="Q9" i="50"/>
  <c r="A133" i="34"/>
  <c r="D129" i="34"/>
  <c r="H129" i="34"/>
  <c r="D128" i="34"/>
  <c r="H128" i="34"/>
  <c r="E126" i="34"/>
  <c r="C4" i="33"/>
  <c r="A133" i="33"/>
  <c r="D129" i="33"/>
  <c r="H129" i="33"/>
  <c r="D123" i="32"/>
  <c r="D116" i="32"/>
  <c r="H116" i="32"/>
  <c r="D110" i="32"/>
  <c r="D103" i="32"/>
  <c r="D105" i="32"/>
  <c r="D101" i="32"/>
  <c r="E101" i="32"/>
  <c r="D95" i="32"/>
  <c r="D87" i="32"/>
  <c r="D88" i="32"/>
  <c r="D82" i="32"/>
  <c r="D84" i="32"/>
  <c r="D80" i="32"/>
  <c r="D79" i="32"/>
  <c r="D77" i="32"/>
  <c r="E77" i="32"/>
  <c r="D74" i="32"/>
  <c r="E74" i="32"/>
  <c r="D73" i="32"/>
  <c r="E73" i="32"/>
  <c r="D71" i="32"/>
  <c r="Q71" i="32"/>
  <c r="D70" i="32"/>
  <c r="E70" i="32"/>
  <c r="D68" i="32"/>
  <c r="H68" i="32"/>
  <c r="D66" i="32"/>
  <c r="H66" i="32"/>
  <c r="D65" i="32"/>
  <c r="H65" i="32"/>
  <c r="D64" i="32"/>
  <c r="H64" i="32"/>
  <c r="D63" i="32"/>
  <c r="E63" i="32"/>
  <c r="D62" i="32"/>
  <c r="H62" i="32"/>
  <c r="D61" i="32"/>
  <c r="E61" i="32"/>
  <c r="D60" i="32"/>
  <c r="D47" i="32"/>
  <c r="D48" i="32"/>
  <c r="D40" i="32"/>
  <c r="D45" i="32"/>
  <c r="D32" i="32"/>
  <c r="D34" i="32"/>
  <c r="D22" i="32"/>
  <c r="D26" i="32"/>
  <c r="D20" i="32"/>
  <c r="D18" i="32"/>
  <c r="E18" i="32"/>
  <c r="D17" i="32"/>
  <c r="D15" i="32"/>
  <c r="H15" i="32"/>
  <c r="D14" i="32"/>
  <c r="H14" i="32"/>
  <c r="D13" i="32"/>
  <c r="H13" i="32"/>
  <c r="D12" i="32"/>
  <c r="H12" i="32"/>
  <c r="D11" i="32"/>
  <c r="H11" i="32"/>
  <c r="F10" i="32"/>
  <c r="F107" i="32"/>
  <c r="A131" i="32"/>
  <c r="D127" i="32"/>
  <c r="D126" i="32"/>
  <c r="E125" i="32"/>
  <c r="E10" i="32"/>
  <c r="C4" i="31"/>
  <c r="F108" i="45"/>
  <c r="D108" i="45"/>
  <c r="D64" i="45"/>
  <c r="H64" i="45"/>
  <c r="F111" i="43"/>
  <c r="D108" i="43"/>
  <c r="Q127" i="42"/>
  <c r="N127" i="42"/>
  <c r="K127" i="42"/>
  <c r="E108" i="42"/>
  <c r="D109" i="42"/>
  <c r="N128" i="42"/>
  <c r="Q128" i="42"/>
  <c r="D109" i="41"/>
  <c r="E108" i="41"/>
  <c r="F119" i="39"/>
  <c r="D108" i="39"/>
  <c r="E108" i="39"/>
  <c r="D109" i="38"/>
  <c r="E108" i="38"/>
  <c r="K78" i="38"/>
  <c r="D23" i="34"/>
  <c r="D27" i="34"/>
  <c r="F119" i="34"/>
  <c r="D108" i="34"/>
  <c r="F48" i="34"/>
  <c r="F96" i="34"/>
  <c r="D104" i="34"/>
  <c r="D105" i="34"/>
  <c r="E105" i="34"/>
  <c r="D111" i="34"/>
  <c r="D112" i="34"/>
  <c r="K128" i="34"/>
  <c r="D19" i="33"/>
  <c r="H19" i="33"/>
  <c r="Q71" i="50"/>
  <c r="D108" i="33"/>
  <c r="B8" i="50"/>
  <c r="K82" i="25"/>
  <c r="D88" i="37"/>
  <c r="D109" i="37"/>
  <c r="E108" i="37"/>
  <c r="K127" i="37"/>
  <c r="Q127" i="37"/>
  <c r="Q128" i="37"/>
  <c r="K128" i="37"/>
  <c r="E107" i="32"/>
  <c r="D108" i="32"/>
  <c r="H108" i="32"/>
  <c r="D112" i="32"/>
  <c r="H112" i="32"/>
  <c r="D111" i="32"/>
  <c r="H111" i="32"/>
  <c r="D113" i="32"/>
  <c r="F96" i="31"/>
  <c r="D111" i="31"/>
  <c r="D112" i="31"/>
  <c r="H112" i="31"/>
  <c r="D108" i="31"/>
  <c r="Q60" i="32"/>
  <c r="F41" i="45"/>
  <c r="D96" i="45"/>
  <c r="K128" i="45"/>
  <c r="F11" i="45"/>
  <c r="D12" i="45"/>
  <c r="H12" i="45"/>
  <c r="D16" i="45"/>
  <c r="E16" i="45"/>
  <c r="D88" i="45"/>
  <c r="D93" i="45"/>
  <c r="E93" i="45"/>
  <c r="D13" i="40"/>
  <c r="H13" i="40"/>
  <c r="F108" i="40"/>
  <c r="Q72" i="38"/>
  <c r="H18" i="32"/>
  <c r="B9" i="50"/>
  <c r="D62" i="34"/>
  <c r="H62" i="34"/>
  <c r="N105" i="34"/>
  <c r="N19" i="34"/>
  <c r="U9" i="50"/>
  <c r="K129" i="34"/>
  <c r="K19" i="34"/>
  <c r="S9" i="50"/>
  <c r="N129" i="34"/>
  <c r="D13" i="34"/>
  <c r="H13" i="34"/>
  <c r="F109" i="34"/>
  <c r="D16" i="34"/>
  <c r="H16" i="34"/>
  <c r="F111" i="34"/>
  <c r="Q129" i="34"/>
  <c r="D63" i="45"/>
  <c r="H63" i="45"/>
  <c r="D18" i="45"/>
  <c r="E18" i="45"/>
  <c r="D119" i="45"/>
  <c r="D121" i="45"/>
  <c r="H121" i="45"/>
  <c r="D23" i="45"/>
  <c r="D31" i="45"/>
  <c r="H31" i="45"/>
  <c r="D33" i="45"/>
  <c r="D37" i="45"/>
  <c r="D38" i="45"/>
  <c r="H38" i="45"/>
  <c r="F119" i="45"/>
  <c r="D41" i="45"/>
  <c r="D43" i="45"/>
  <c r="Q43" i="45"/>
  <c r="K129" i="45"/>
  <c r="K64" i="45"/>
  <c r="F23" i="45"/>
  <c r="D111" i="45"/>
  <c r="D74" i="45"/>
  <c r="D72" i="45"/>
  <c r="H72" i="45"/>
  <c r="D83" i="45"/>
  <c r="D71" i="45"/>
  <c r="D81" i="45"/>
  <c r="H81" i="45"/>
  <c r="Q55" i="50"/>
  <c r="D80" i="45"/>
  <c r="E80" i="45"/>
  <c r="D78" i="45"/>
  <c r="H78" i="45"/>
  <c r="D77" i="45"/>
  <c r="D75" i="45"/>
  <c r="H75" i="45"/>
  <c r="D13" i="45"/>
  <c r="H13" i="45"/>
  <c r="F18" i="45"/>
  <c r="F33" i="45"/>
  <c r="D48" i="45"/>
  <c r="D49" i="45"/>
  <c r="Q49" i="45"/>
  <c r="D66" i="45"/>
  <c r="H66" i="45"/>
  <c r="F80" i="45"/>
  <c r="D14" i="45"/>
  <c r="K14" i="45"/>
  <c r="D19" i="45"/>
  <c r="K19" i="45"/>
  <c r="S49" i="50"/>
  <c r="D68" i="45"/>
  <c r="N68" i="45"/>
  <c r="F60" i="45"/>
  <c r="D104" i="45"/>
  <c r="D105" i="45"/>
  <c r="E105" i="45"/>
  <c r="D15" i="45"/>
  <c r="K15" i="45"/>
  <c r="D21" i="45"/>
  <c r="E21" i="45"/>
  <c r="D61" i="45"/>
  <c r="N61" i="45"/>
  <c r="D69" i="45"/>
  <c r="Q69" i="45"/>
  <c r="F104" i="45"/>
  <c r="N64" i="45"/>
  <c r="N43" i="45"/>
  <c r="Q64" i="45"/>
  <c r="N38" i="45"/>
  <c r="K43" i="45"/>
  <c r="N129" i="45"/>
  <c r="N128" i="45"/>
  <c r="N69" i="45"/>
  <c r="Q129" i="45"/>
  <c r="Q128" i="45"/>
  <c r="H128" i="43"/>
  <c r="N128" i="43"/>
  <c r="Q129" i="43"/>
  <c r="N129" i="43"/>
  <c r="D63" i="43"/>
  <c r="H63" i="43"/>
  <c r="D21" i="43"/>
  <c r="E21" i="43"/>
  <c r="D41" i="43"/>
  <c r="D43" i="43"/>
  <c r="K43" i="43"/>
  <c r="D64" i="43"/>
  <c r="H64" i="43"/>
  <c r="D104" i="43"/>
  <c r="E104" i="43"/>
  <c r="Q128" i="43"/>
  <c r="D14" i="43"/>
  <c r="N14" i="43"/>
  <c r="F80" i="43"/>
  <c r="D15" i="43"/>
  <c r="H15" i="43"/>
  <c r="F41" i="43"/>
  <c r="F104" i="43"/>
  <c r="F23" i="43"/>
  <c r="D111" i="43"/>
  <c r="D74" i="43"/>
  <c r="D72" i="43"/>
  <c r="H72" i="43"/>
  <c r="D71" i="43"/>
  <c r="D81" i="43"/>
  <c r="H81" i="43"/>
  <c r="Q117" i="50"/>
  <c r="D80" i="43"/>
  <c r="E80" i="43"/>
  <c r="D83" i="43"/>
  <c r="D77" i="43"/>
  <c r="D75" i="43"/>
  <c r="H75" i="43"/>
  <c r="D78" i="43"/>
  <c r="H78" i="43"/>
  <c r="D19" i="43"/>
  <c r="D61" i="43"/>
  <c r="H61" i="43"/>
  <c r="F119" i="43"/>
  <c r="D23" i="43"/>
  <c r="E23" i="43"/>
  <c r="D66" i="43"/>
  <c r="H66" i="43"/>
  <c r="D16" i="43"/>
  <c r="D48" i="43"/>
  <c r="D58" i="43"/>
  <c r="Q58" i="43"/>
  <c r="D69" i="43"/>
  <c r="H69" i="43"/>
  <c r="K129" i="43"/>
  <c r="F11" i="43"/>
  <c r="F108" i="43"/>
  <c r="D88" i="43"/>
  <c r="D93" i="43"/>
  <c r="E93" i="43"/>
  <c r="K69" i="43"/>
  <c r="D12" i="43"/>
  <c r="D18" i="43"/>
  <c r="E18" i="43"/>
  <c r="D33" i="43"/>
  <c r="D39" i="43"/>
  <c r="F74" i="43"/>
  <c r="D96" i="43"/>
  <c r="D98" i="43"/>
  <c r="K98" i="43"/>
  <c r="D13" i="43"/>
  <c r="F18" i="43"/>
  <c r="F33" i="43"/>
  <c r="F60" i="43"/>
  <c r="D117" i="43"/>
  <c r="H117" i="43"/>
  <c r="F104" i="41"/>
  <c r="D67" i="41"/>
  <c r="H67" i="41"/>
  <c r="D111" i="41"/>
  <c r="D65" i="41"/>
  <c r="H65" i="41"/>
  <c r="D18" i="41"/>
  <c r="E18" i="41"/>
  <c r="D13" i="41"/>
  <c r="H13" i="41"/>
  <c r="D104" i="41"/>
  <c r="D64" i="41"/>
  <c r="Q64" i="41"/>
  <c r="D16" i="41"/>
  <c r="H16" i="41"/>
  <c r="D63" i="41"/>
  <c r="H63" i="41"/>
  <c r="D48" i="41"/>
  <c r="D51" i="41"/>
  <c r="D15" i="41"/>
  <c r="E15" i="41"/>
  <c r="D62" i="41"/>
  <c r="H62" i="41"/>
  <c r="D41" i="41"/>
  <c r="D42" i="41"/>
  <c r="H42" i="41"/>
  <c r="D14" i="41"/>
  <c r="H14" i="41"/>
  <c r="D61" i="41"/>
  <c r="E61" i="41"/>
  <c r="D102" i="41"/>
  <c r="H102" i="41"/>
  <c r="D69" i="41"/>
  <c r="Q69" i="41"/>
  <c r="D33" i="41"/>
  <c r="D38" i="41"/>
  <c r="N38" i="41"/>
  <c r="D117" i="41"/>
  <c r="Q117" i="41"/>
  <c r="D66" i="41"/>
  <c r="H66" i="41"/>
  <c r="D19" i="41"/>
  <c r="E19" i="41"/>
  <c r="D68" i="41"/>
  <c r="H68" i="41"/>
  <c r="D60" i="41"/>
  <c r="E60" i="41"/>
  <c r="D23" i="41"/>
  <c r="D25" i="41"/>
  <c r="D12" i="41"/>
  <c r="H12" i="41"/>
  <c r="D21" i="41"/>
  <c r="E21" i="41"/>
  <c r="D11" i="41"/>
  <c r="E11" i="41"/>
  <c r="D119" i="41"/>
  <c r="D124" i="41"/>
  <c r="E124" i="41"/>
  <c r="D75" i="41"/>
  <c r="H75" i="41"/>
  <c r="D88" i="41"/>
  <c r="D93" i="41"/>
  <c r="E93" i="41"/>
  <c r="D74" i="41"/>
  <c r="D81" i="41"/>
  <c r="D80" i="41"/>
  <c r="E80" i="41"/>
  <c r="D77" i="41"/>
  <c r="D72" i="41"/>
  <c r="H72" i="41"/>
  <c r="D71" i="41"/>
  <c r="D78" i="41"/>
  <c r="H78" i="41"/>
  <c r="K78" i="41"/>
  <c r="K64" i="41"/>
  <c r="D83" i="41"/>
  <c r="D85" i="41"/>
  <c r="H85" i="41"/>
  <c r="F48" i="41"/>
  <c r="D96" i="41"/>
  <c r="D98" i="41"/>
  <c r="K98" i="41"/>
  <c r="N128" i="40"/>
  <c r="K67" i="40"/>
  <c r="Q129" i="40"/>
  <c r="D88" i="40"/>
  <c r="D90" i="40"/>
  <c r="E90" i="40"/>
  <c r="K13" i="40"/>
  <c r="Q67" i="40"/>
  <c r="N129" i="40"/>
  <c r="K129" i="40"/>
  <c r="K128" i="40"/>
  <c r="Q128" i="40"/>
  <c r="D111" i="40"/>
  <c r="D74" i="40"/>
  <c r="D71" i="40"/>
  <c r="D81" i="40"/>
  <c r="D72" i="40"/>
  <c r="N72" i="40"/>
  <c r="D83" i="40"/>
  <c r="D78" i="40"/>
  <c r="Q78" i="40"/>
  <c r="D77" i="40"/>
  <c r="D75" i="40"/>
  <c r="H75" i="40"/>
  <c r="D80" i="40"/>
  <c r="D111" i="39"/>
  <c r="D78" i="39"/>
  <c r="Q78" i="39"/>
  <c r="D77" i="39"/>
  <c r="D75" i="39"/>
  <c r="Q75" i="39"/>
  <c r="D83" i="39"/>
  <c r="D74" i="39"/>
  <c r="D72" i="39"/>
  <c r="N72" i="39"/>
  <c r="D80" i="39"/>
  <c r="D71" i="39"/>
  <c r="D81" i="39"/>
  <c r="H81" i="39"/>
  <c r="Q97" i="50"/>
  <c r="D19" i="39"/>
  <c r="H19" i="39"/>
  <c r="Q91" i="50"/>
  <c r="N128" i="39"/>
  <c r="K19" i="39"/>
  <c r="S91" i="50"/>
  <c r="F48" i="39"/>
  <c r="D88" i="39"/>
  <c r="D89" i="39"/>
  <c r="E89" i="39"/>
  <c r="K128" i="39"/>
  <c r="D62" i="39"/>
  <c r="N62" i="39"/>
  <c r="D96" i="39"/>
  <c r="F111" i="39"/>
  <c r="Q128" i="39"/>
  <c r="Q75" i="38"/>
  <c r="D86" i="38"/>
  <c r="D85" i="38"/>
  <c r="Q85" i="38"/>
  <c r="D84" i="38"/>
  <c r="N84" i="38"/>
  <c r="K75" i="38"/>
  <c r="D98" i="38"/>
  <c r="Q98" i="38"/>
  <c r="D97" i="38"/>
  <c r="K97" i="38"/>
  <c r="N75" i="38"/>
  <c r="F104" i="37"/>
  <c r="D117" i="37"/>
  <c r="D66" i="37"/>
  <c r="D41" i="37"/>
  <c r="D44" i="37"/>
  <c r="Q44" i="37"/>
  <c r="D14" i="37"/>
  <c r="D102" i="37"/>
  <c r="D19" i="37"/>
  <c r="D69" i="37"/>
  <c r="K69" i="37"/>
  <c r="D18" i="37"/>
  <c r="E18" i="37"/>
  <c r="D111" i="37"/>
  <c r="D65" i="37"/>
  <c r="D33" i="37"/>
  <c r="D36" i="37"/>
  <c r="Q36" i="37"/>
  <c r="D13" i="37"/>
  <c r="Q13" i="37"/>
  <c r="D62" i="37"/>
  <c r="D61" i="37"/>
  <c r="D64" i="37"/>
  <c r="Q64" i="37"/>
  <c r="D23" i="37"/>
  <c r="E23" i="37"/>
  <c r="D12" i="37"/>
  <c r="E12" i="37"/>
  <c r="D124" i="37"/>
  <c r="D104" i="37"/>
  <c r="E104" i="37"/>
  <c r="D63" i="37"/>
  <c r="D21" i="37"/>
  <c r="E21" i="37"/>
  <c r="D11" i="37"/>
  <c r="E11" i="37"/>
  <c r="D68" i="37"/>
  <c r="N68" i="37"/>
  <c r="D60" i="37"/>
  <c r="E60" i="37"/>
  <c r="D16" i="37"/>
  <c r="D119" i="37"/>
  <c r="D67" i="37"/>
  <c r="D48" i="37"/>
  <c r="D58" i="37"/>
  <c r="D15" i="37"/>
  <c r="D77" i="37"/>
  <c r="D75" i="37"/>
  <c r="D74" i="37"/>
  <c r="D72" i="37"/>
  <c r="D83" i="37"/>
  <c r="D81" i="37"/>
  <c r="D80" i="37"/>
  <c r="D71" i="37"/>
  <c r="D78" i="37"/>
  <c r="N78" i="37"/>
  <c r="K75" i="37"/>
  <c r="N64" i="37"/>
  <c r="D96" i="37"/>
  <c r="D16" i="33"/>
  <c r="E16" i="33"/>
  <c r="D23" i="33"/>
  <c r="D25" i="33"/>
  <c r="E25" i="33"/>
  <c r="D13" i="33"/>
  <c r="E13" i="33"/>
  <c r="N19" i="33"/>
  <c r="U71" i="50"/>
  <c r="F48" i="33"/>
  <c r="D62" i="33"/>
  <c r="H62" i="33"/>
  <c r="F96" i="33"/>
  <c r="K129" i="33"/>
  <c r="K19" i="33"/>
  <c r="S71" i="50"/>
  <c r="Q19" i="33"/>
  <c r="W71" i="50"/>
  <c r="N129" i="33"/>
  <c r="N128" i="33"/>
  <c r="Q129" i="33"/>
  <c r="Q128" i="33"/>
  <c r="D111" i="33"/>
  <c r="D112" i="33"/>
  <c r="N112" i="33"/>
  <c r="D67" i="33"/>
  <c r="H67" i="33"/>
  <c r="D88" i="33"/>
  <c r="D91" i="33"/>
  <c r="E64" i="32"/>
  <c r="D36" i="32"/>
  <c r="E36" i="32"/>
  <c r="D29" i="32"/>
  <c r="H29" i="32"/>
  <c r="H77" i="32"/>
  <c r="D56" i="32"/>
  <c r="N56" i="32"/>
  <c r="E123" i="32"/>
  <c r="D124" i="32"/>
  <c r="H124" i="32"/>
  <c r="D49" i="32"/>
  <c r="H49" i="32"/>
  <c r="D51" i="32"/>
  <c r="H51" i="32"/>
  <c r="D54" i="32"/>
  <c r="H54" i="32"/>
  <c r="K127" i="31"/>
  <c r="F116" i="31"/>
  <c r="D102" i="31"/>
  <c r="E102" i="31"/>
  <c r="D62" i="31"/>
  <c r="E62" i="31"/>
  <c r="D19" i="31"/>
  <c r="E19" i="31"/>
  <c r="D124" i="31"/>
  <c r="D48" i="31"/>
  <c r="D53" i="31"/>
  <c r="H53" i="31"/>
  <c r="D41" i="31"/>
  <c r="D43" i="31"/>
  <c r="H43" i="31"/>
  <c r="D14" i="31"/>
  <c r="E14" i="31"/>
  <c r="D33" i="31"/>
  <c r="D38" i="31"/>
  <c r="H38" i="31"/>
  <c r="D69" i="31"/>
  <c r="E69" i="31"/>
  <c r="D61" i="31"/>
  <c r="H61" i="31"/>
  <c r="D18" i="31"/>
  <c r="E18" i="31"/>
  <c r="D67" i="31"/>
  <c r="E67" i="31"/>
  <c r="D117" i="31"/>
  <c r="Q117" i="31"/>
  <c r="D65" i="31"/>
  <c r="E65" i="31"/>
  <c r="D68" i="31"/>
  <c r="E68" i="31"/>
  <c r="D60" i="31"/>
  <c r="E60" i="31"/>
  <c r="D16" i="31"/>
  <c r="H16" i="31"/>
  <c r="D119" i="31"/>
  <c r="E119" i="31"/>
  <c r="D15" i="31"/>
  <c r="E15" i="31"/>
  <c r="D66" i="31"/>
  <c r="E66" i="31"/>
  <c r="E112" i="31"/>
  <c r="D64" i="31"/>
  <c r="K64" i="31"/>
  <c r="D23" i="31"/>
  <c r="E23" i="31"/>
  <c r="D12" i="31"/>
  <c r="H12" i="31"/>
  <c r="D104" i="31"/>
  <c r="D105" i="31"/>
  <c r="E105" i="31"/>
  <c r="D63" i="31"/>
  <c r="E63" i="31"/>
  <c r="D21" i="31"/>
  <c r="E21" i="31"/>
  <c r="D11" i="31"/>
  <c r="E11" i="31"/>
  <c r="D13" i="31"/>
  <c r="D81" i="31"/>
  <c r="D78" i="31"/>
  <c r="K78" i="31"/>
  <c r="D77" i="31"/>
  <c r="E77" i="31"/>
  <c r="D75" i="31"/>
  <c r="H75" i="31"/>
  <c r="D96" i="31"/>
  <c r="E96" i="31"/>
  <c r="D88" i="31"/>
  <c r="D94" i="31"/>
  <c r="D71" i="31"/>
  <c r="E71" i="31"/>
  <c r="D80" i="31"/>
  <c r="E80" i="31"/>
  <c r="D72" i="31"/>
  <c r="H72" i="31"/>
  <c r="D74" i="31"/>
  <c r="E74" i="31"/>
  <c r="D83" i="31"/>
  <c r="D86" i="31"/>
  <c r="F88" i="31"/>
  <c r="K84" i="42"/>
  <c r="N68" i="42"/>
  <c r="H34" i="32"/>
  <c r="Q34" i="32"/>
  <c r="H60" i="32"/>
  <c r="D83" i="32"/>
  <c r="H83" i="32"/>
  <c r="H61" i="32"/>
  <c r="D89" i="32"/>
  <c r="E15" i="32"/>
  <c r="D37" i="32"/>
  <c r="H37" i="32"/>
  <c r="H101" i="32"/>
  <c r="K13" i="32"/>
  <c r="K34" i="32"/>
  <c r="K66" i="32"/>
  <c r="K88" i="32"/>
  <c r="N65" i="32"/>
  <c r="N11" i="32"/>
  <c r="Q66" i="32"/>
  <c r="Q45" i="32"/>
  <c r="Q12" i="32"/>
  <c r="K14" i="32"/>
  <c r="K61" i="32"/>
  <c r="N64" i="32"/>
  <c r="Q65" i="32"/>
  <c r="K15" i="32"/>
  <c r="K60" i="32"/>
  <c r="K68" i="32"/>
  <c r="Q64" i="32"/>
  <c r="D30" i="32"/>
  <c r="H30" i="32"/>
  <c r="K18" i="32"/>
  <c r="D9" i="50"/>
  <c r="K71" i="32"/>
  <c r="K116" i="32"/>
  <c r="N18" i="32"/>
  <c r="F9" i="50"/>
  <c r="Q77" i="32"/>
  <c r="Q63" i="32"/>
  <c r="D28" i="32"/>
  <c r="H28" i="32"/>
  <c r="K62" i="32"/>
  <c r="K74" i="32"/>
  <c r="K101" i="32"/>
  <c r="N101" i="32"/>
  <c r="N74" i="32"/>
  <c r="N61" i="32"/>
  <c r="N15" i="32"/>
  <c r="Q101" i="32"/>
  <c r="Q74" i="32"/>
  <c r="Q62" i="32"/>
  <c r="Q18" i="32"/>
  <c r="H9" i="50"/>
  <c r="K63" i="32"/>
  <c r="K77" i="32"/>
  <c r="N116" i="32"/>
  <c r="N60" i="32"/>
  <c r="N14" i="32"/>
  <c r="Q15" i="32"/>
  <c r="K11" i="32"/>
  <c r="K64" i="32"/>
  <c r="N68" i="32"/>
  <c r="N34" i="32"/>
  <c r="N13" i="32"/>
  <c r="Q116" i="32"/>
  <c r="Q68" i="32"/>
  <c r="K12" i="32"/>
  <c r="N45" i="32"/>
  <c r="Q113" i="32"/>
  <c r="Q13" i="32"/>
  <c r="Q127" i="32"/>
  <c r="K127" i="32"/>
  <c r="K126" i="32"/>
  <c r="Q126" i="32"/>
  <c r="H126" i="32"/>
  <c r="K128" i="31"/>
  <c r="Q127" i="31"/>
  <c r="N128" i="37"/>
  <c r="N127" i="37"/>
  <c r="N128" i="38"/>
  <c r="K128" i="38"/>
  <c r="Q127" i="38"/>
  <c r="H127" i="38"/>
  <c r="K127" i="38"/>
  <c r="B122" i="50"/>
  <c r="H127" i="32"/>
  <c r="H127" i="37"/>
  <c r="H128" i="37"/>
  <c r="H128" i="38"/>
  <c r="H128" i="42"/>
  <c r="H127" i="42"/>
  <c r="D23" i="39"/>
  <c r="D31" i="39"/>
  <c r="K31" i="39"/>
  <c r="F108" i="39"/>
  <c r="K129" i="39"/>
  <c r="N129" i="39"/>
  <c r="Q129" i="39"/>
  <c r="D67" i="39"/>
  <c r="E67" i="39"/>
  <c r="D13" i="39"/>
  <c r="H13" i="39"/>
  <c r="F96" i="39"/>
  <c r="D16" i="39"/>
  <c r="H16" i="39"/>
  <c r="D104" i="39"/>
  <c r="E104" i="39"/>
  <c r="K45" i="32"/>
  <c r="Q88" i="32"/>
  <c r="N63" i="32"/>
  <c r="N77" i="32"/>
  <c r="Q105" i="32"/>
  <c r="H105" i="32"/>
  <c r="N105" i="32"/>
  <c r="H26" i="32"/>
  <c r="N88" i="32"/>
  <c r="Q84" i="32"/>
  <c r="Q48" i="32"/>
  <c r="H84" i="32"/>
  <c r="K84" i="32"/>
  <c r="N84" i="32"/>
  <c r="K48" i="32"/>
  <c r="K105" i="32"/>
  <c r="N112" i="32"/>
  <c r="N62" i="32"/>
  <c r="Q11" i="32"/>
  <c r="E110" i="32"/>
  <c r="E71" i="32"/>
  <c r="D104" i="32"/>
  <c r="N71" i="32"/>
  <c r="H71" i="32"/>
  <c r="D93" i="32"/>
  <c r="E80" i="32"/>
  <c r="D23" i="32"/>
  <c r="H23" i="32"/>
  <c r="H74" i="32"/>
  <c r="K65" i="32"/>
  <c r="N113" i="32"/>
  <c r="N12" i="32"/>
  <c r="Q14" i="32"/>
  <c r="D24" i="32"/>
  <c r="E24" i="32"/>
  <c r="D42" i="32"/>
  <c r="Q42" i="32"/>
  <c r="D57" i="32"/>
  <c r="H57" i="32"/>
  <c r="E14" i="32"/>
  <c r="D59" i="32"/>
  <c r="E59" i="32"/>
  <c r="D67" i="32"/>
  <c r="N67" i="32"/>
  <c r="D76" i="32"/>
  <c r="E76" i="32"/>
  <c r="D118" i="32"/>
  <c r="E118" i="32"/>
  <c r="D25" i="32"/>
  <c r="Q25" i="32"/>
  <c r="D53" i="32"/>
  <c r="K53" i="32"/>
  <c r="K113" i="32"/>
  <c r="D91" i="38"/>
  <c r="D93" i="38"/>
  <c r="E93" i="38"/>
  <c r="D89" i="38"/>
  <c r="D21" i="38"/>
  <c r="E21" i="38"/>
  <c r="D18" i="38"/>
  <c r="E18" i="38"/>
  <c r="D64" i="38"/>
  <c r="E64" i="38"/>
  <c r="D124" i="38"/>
  <c r="D125" i="38"/>
  <c r="E125" i="38"/>
  <c r="F18" i="38"/>
  <c r="D119" i="38"/>
  <c r="D120" i="38"/>
  <c r="Q120" i="38"/>
  <c r="F101" i="38"/>
  <c r="F33" i="38"/>
  <c r="D67" i="38"/>
  <c r="Q67" i="38"/>
  <c r="D12" i="38"/>
  <c r="N12" i="38"/>
  <c r="F41" i="38"/>
  <c r="D69" i="38"/>
  <c r="N69" i="38"/>
  <c r="F108" i="38"/>
  <c r="D13" i="38"/>
  <c r="E13" i="38"/>
  <c r="D48" i="38"/>
  <c r="D57" i="38"/>
  <c r="K57" i="38"/>
  <c r="D111" i="38"/>
  <c r="D66" i="38"/>
  <c r="N66" i="38"/>
  <c r="D33" i="38"/>
  <c r="D37" i="38"/>
  <c r="E37" i="38"/>
  <c r="D15" i="38"/>
  <c r="E15" i="38"/>
  <c r="D61" i="38"/>
  <c r="K61" i="38"/>
  <c r="F111" i="38"/>
  <c r="D24" i="37"/>
  <c r="D25" i="37"/>
  <c r="D93" i="42"/>
  <c r="E93" i="42"/>
  <c r="D90" i="42"/>
  <c r="E90" i="42"/>
  <c r="D94" i="42"/>
  <c r="E94" i="42"/>
  <c r="K14" i="42"/>
  <c r="N14" i="42"/>
  <c r="Q68" i="42"/>
  <c r="Q14" i="42"/>
  <c r="K128" i="42"/>
  <c r="Q84" i="42"/>
  <c r="D86" i="42"/>
  <c r="K72" i="42"/>
  <c r="N78" i="42"/>
  <c r="Q78" i="42"/>
  <c r="N75" i="42"/>
  <c r="Q75" i="42"/>
  <c r="E14" i="42"/>
  <c r="D85" i="42"/>
  <c r="H85" i="42"/>
  <c r="N84" i="42"/>
  <c r="K68" i="42"/>
  <c r="N72" i="42"/>
  <c r="Q72" i="42"/>
  <c r="N75" i="41"/>
  <c r="Q78" i="41"/>
  <c r="Q75" i="41"/>
  <c r="Q127" i="41"/>
  <c r="N14" i="41"/>
  <c r="Q68" i="41"/>
  <c r="N125" i="41"/>
  <c r="K75" i="41"/>
  <c r="K14" i="41"/>
  <c r="N78" i="41"/>
  <c r="Q125" i="41"/>
  <c r="N128" i="34"/>
  <c r="Q128" i="34"/>
  <c r="Q19" i="34"/>
  <c r="W9" i="50"/>
  <c r="D25" i="34"/>
  <c r="E25" i="34"/>
  <c r="D88" i="34"/>
  <c r="D91" i="34"/>
  <c r="D98" i="45"/>
  <c r="N98" i="45"/>
  <c r="D97" i="45"/>
  <c r="N97" i="45"/>
  <c r="D89" i="45"/>
  <c r="E89" i="45"/>
  <c r="E37" i="45"/>
  <c r="E111" i="45"/>
  <c r="D117" i="45"/>
  <c r="K117" i="45"/>
  <c r="D39" i="45"/>
  <c r="E48" i="45"/>
  <c r="E64" i="45"/>
  <c r="D67" i="45"/>
  <c r="K67" i="45"/>
  <c r="D102" i="45"/>
  <c r="Q102" i="45"/>
  <c r="F116" i="45"/>
  <c r="D34" i="45"/>
  <c r="N34" i="45"/>
  <c r="F48" i="45"/>
  <c r="D51" i="45"/>
  <c r="K51" i="45"/>
  <c r="D62" i="45"/>
  <c r="K62" i="45"/>
  <c r="F96" i="45"/>
  <c r="D124" i="45"/>
  <c r="D125" i="45"/>
  <c r="E127" i="45"/>
  <c r="D11" i="45"/>
  <c r="E11" i="45"/>
  <c r="D60" i="45"/>
  <c r="D65" i="45"/>
  <c r="N65" i="45"/>
  <c r="F71" i="45"/>
  <c r="F77" i="45"/>
  <c r="F83" i="45"/>
  <c r="F88" i="45"/>
  <c r="F101" i="45"/>
  <c r="H43" i="43"/>
  <c r="D68" i="43"/>
  <c r="Q68" i="43"/>
  <c r="D119" i="43"/>
  <c r="E61" i="43"/>
  <c r="E69" i="43"/>
  <c r="D67" i="43"/>
  <c r="Q67" i="43"/>
  <c r="D102" i="43"/>
  <c r="K102" i="43"/>
  <c r="F116" i="43"/>
  <c r="F48" i="43"/>
  <c r="D62" i="43"/>
  <c r="K62" i="43"/>
  <c r="F96" i="43"/>
  <c r="D124" i="43"/>
  <c r="D125" i="43"/>
  <c r="H125" i="43"/>
  <c r="Q122" i="50"/>
  <c r="E127" i="43"/>
  <c r="D11" i="43"/>
  <c r="E11" i="43"/>
  <c r="D60" i="43"/>
  <c r="D65" i="43"/>
  <c r="N65" i="43"/>
  <c r="F71" i="43"/>
  <c r="F77" i="43"/>
  <c r="F83" i="43"/>
  <c r="F88" i="43"/>
  <c r="F101" i="43"/>
  <c r="E84" i="42"/>
  <c r="H84" i="42"/>
  <c r="D98" i="42"/>
  <c r="K98" i="42"/>
  <c r="D97" i="42"/>
  <c r="Q97" i="42"/>
  <c r="E85" i="42"/>
  <c r="D91" i="42"/>
  <c r="E91" i="42"/>
  <c r="D92" i="42"/>
  <c r="E92" i="42"/>
  <c r="D89" i="42"/>
  <c r="E89" i="42"/>
  <c r="D13" i="42"/>
  <c r="K13" i="42"/>
  <c r="D67" i="42"/>
  <c r="K67" i="42"/>
  <c r="D102" i="42"/>
  <c r="K102" i="42"/>
  <c r="F116" i="42"/>
  <c r="E126" i="42"/>
  <c r="D16" i="42"/>
  <c r="N16" i="42"/>
  <c r="D19" i="42"/>
  <c r="Q19" i="42"/>
  <c r="H49" i="50"/>
  <c r="D23" i="42"/>
  <c r="F48" i="42"/>
  <c r="D62" i="42"/>
  <c r="K62" i="42"/>
  <c r="F96" i="42"/>
  <c r="D124" i="42"/>
  <c r="D125" i="42"/>
  <c r="D11" i="42"/>
  <c r="E11" i="42"/>
  <c r="D60" i="42"/>
  <c r="D65" i="42"/>
  <c r="N65" i="42"/>
  <c r="F71" i="42"/>
  <c r="F77" i="42"/>
  <c r="F83" i="42"/>
  <c r="F88" i="42"/>
  <c r="F101" i="42"/>
  <c r="D111" i="42"/>
  <c r="D112" i="42"/>
  <c r="K112" i="42"/>
  <c r="D119" i="42"/>
  <c r="D41" i="42"/>
  <c r="F60" i="42"/>
  <c r="D63" i="42"/>
  <c r="N63" i="42"/>
  <c r="E68" i="42"/>
  <c r="F108" i="42"/>
  <c r="F111" i="42"/>
  <c r="D12" i="42"/>
  <c r="Q12" i="42"/>
  <c r="D18" i="42"/>
  <c r="D21" i="42"/>
  <c r="F41" i="42"/>
  <c r="D66" i="42"/>
  <c r="N66" i="42"/>
  <c r="D104" i="42"/>
  <c r="F119" i="42"/>
  <c r="D15" i="42"/>
  <c r="Q15" i="42"/>
  <c r="D33" i="42"/>
  <c r="D61" i="42"/>
  <c r="Q61" i="42"/>
  <c r="D69" i="42"/>
  <c r="K69" i="42"/>
  <c r="F74" i="42"/>
  <c r="F80" i="42"/>
  <c r="D117" i="42"/>
  <c r="N117" i="42"/>
  <c r="F18" i="42"/>
  <c r="F33" i="42"/>
  <c r="D48" i="42"/>
  <c r="D64" i="42"/>
  <c r="Q64" i="42"/>
  <c r="F77" i="41"/>
  <c r="F11" i="41"/>
  <c r="E68" i="41"/>
  <c r="F108" i="41"/>
  <c r="F116" i="41"/>
  <c r="F96" i="41"/>
  <c r="F88" i="41"/>
  <c r="E14" i="41"/>
  <c r="F60" i="41"/>
  <c r="F41" i="41"/>
  <c r="F119" i="41"/>
  <c r="E125" i="41"/>
  <c r="F83" i="41"/>
  <c r="F23" i="41"/>
  <c r="F74" i="41"/>
  <c r="F80" i="41"/>
  <c r="F71" i="41"/>
  <c r="F101" i="41"/>
  <c r="F111" i="41"/>
  <c r="F18" i="41"/>
  <c r="F33" i="41"/>
  <c r="F18" i="40"/>
  <c r="F33" i="40"/>
  <c r="D48" i="40"/>
  <c r="D64" i="40"/>
  <c r="Q64" i="40"/>
  <c r="D119" i="40"/>
  <c r="F111" i="40"/>
  <c r="E13" i="40"/>
  <c r="D16" i="40"/>
  <c r="K16" i="40"/>
  <c r="D19" i="40"/>
  <c r="K19" i="40"/>
  <c r="S29" i="50"/>
  <c r="D23" i="40"/>
  <c r="F48" i="40"/>
  <c r="D62" i="40"/>
  <c r="N62" i="40"/>
  <c r="E67" i="40"/>
  <c r="F96" i="40"/>
  <c r="D104" i="40"/>
  <c r="F119" i="40"/>
  <c r="D11" i="40"/>
  <c r="E11" i="40"/>
  <c r="D60" i="40"/>
  <c r="D65" i="40"/>
  <c r="K65" i="40"/>
  <c r="F88" i="40"/>
  <c r="D117" i="40"/>
  <c r="F23" i="40"/>
  <c r="D68" i="40"/>
  <c r="Q68" i="40"/>
  <c r="F104" i="40"/>
  <c r="D14" i="40"/>
  <c r="Q14" i="40"/>
  <c r="F11" i="40"/>
  <c r="D41" i="40"/>
  <c r="F60" i="40"/>
  <c r="D63" i="40"/>
  <c r="Q63" i="40"/>
  <c r="F71" i="40"/>
  <c r="F74" i="40"/>
  <c r="F77" i="40"/>
  <c r="F80" i="40"/>
  <c r="F83" i="40"/>
  <c r="D102" i="40"/>
  <c r="N102" i="40"/>
  <c r="F116" i="40"/>
  <c r="D12" i="40"/>
  <c r="K12" i="40"/>
  <c r="D18" i="40"/>
  <c r="D21" i="40"/>
  <c r="F41" i="40"/>
  <c r="D66" i="40"/>
  <c r="N66" i="40"/>
  <c r="D124" i="40"/>
  <c r="D125" i="40"/>
  <c r="Q125" i="40"/>
  <c r="E127" i="40"/>
  <c r="D15" i="40"/>
  <c r="N15" i="40"/>
  <c r="D33" i="40"/>
  <c r="D61" i="40"/>
  <c r="Q61" i="40"/>
  <c r="D69" i="40"/>
  <c r="K69" i="40"/>
  <c r="F101" i="40"/>
  <c r="E19" i="39"/>
  <c r="F23" i="39"/>
  <c r="F104" i="39"/>
  <c r="F18" i="39"/>
  <c r="F33" i="39"/>
  <c r="D48" i="39"/>
  <c r="D64" i="39"/>
  <c r="Q64" i="39"/>
  <c r="D119" i="39"/>
  <c r="D60" i="39"/>
  <c r="N117" i="39"/>
  <c r="D14" i="39"/>
  <c r="K14" i="39"/>
  <c r="D68" i="39"/>
  <c r="K68" i="39"/>
  <c r="F11" i="39"/>
  <c r="D41" i="39"/>
  <c r="F60" i="39"/>
  <c r="D63" i="39"/>
  <c r="N63" i="39"/>
  <c r="F71" i="39"/>
  <c r="F74" i="39"/>
  <c r="F77" i="39"/>
  <c r="F80" i="39"/>
  <c r="F83" i="39"/>
  <c r="D102" i="39"/>
  <c r="K102" i="39"/>
  <c r="F116" i="39"/>
  <c r="D65" i="39"/>
  <c r="K65" i="39"/>
  <c r="D12" i="39"/>
  <c r="K12" i="39"/>
  <c r="D18" i="39"/>
  <c r="D21" i="39"/>
  <c r="F41" i="39"/>
  <c r="D66" i="39"/>
  <c r="K66" i="39"/>
  <c r="D124" i="39"/>
  <c r="D125" i="39"/>
  <c r="Q125" i="39"/>
  <c r="W102" i="50"/>
  <c r="E127" i="39"/>
  <c r="D11" i="39"/>
  <c r="E11" i="39"/>
  <c r="F88" i="39"/>
  <c r="D15" i="39"/>
  <c r="K15" i="39"/>
  <c r="D33" i="39"/>
  <c r="D61" i="39"/>
  <c r="N61" i="39"/>
  <c r="D69" i="39"/>
  <c r="N69" i="39"/>
  <c r="F101" i="39"/>
  <c r="D92" i="38"/>
  <c r="N92" i="38"/>
  <c r="D90" i="38"/>
  <c r="D94" i="38"/>
  <c r="E120" i="38"/>
  <c r="F11" i="38"/>
  <c r="D41" i="38"/>
  <c r="F60" i="38"/>
  <c r="D63" i="38"/>
  <c r="F71" i="38"/>
  <c r="F74" i="38"/>
  <c r="F77" i="38"/>
  <c r="F80" i="38"/>
  <c r="F83" i="38"/>
  <c r="D102" i="38"/>
  <c r="Q102" i="38"/>
  <c r="F116" i="38"/>
  <c r="E126" i="38"/>
  <c r="D16" i="38"/>
  <c r="K16" i="38"/>
  <c r="D19" i="38"/>
  <c r="K19" i="38"/>
  <c r="D29" i="50"/>
  <c r="D23" i="38"/>
  <c r="F48" i="38"/>
  <c r="D62" i="38"/>
  <c r="F96" i="38"/>
  <c r="D104" i="38"/>
  <c r="F119" i="38"/>
  <c r="D11" i="38"/>
  <c r="E11" i="38"/>
  <c r="D60" i="38"/>
  <c r="D65" i="38"/>
  <c r="K65" i="38"/>
  <c r="F88" i="38"/>
  <c r="D117" i="38"/>
  <c r="D14" i="38"/>
  <c r="N14" i="38"/>
  <c r="F23" i="38"/>
  <c r="D68" i="38"/>
  <c r="N68" i="38"/>
  <c r="D91" i="37"/>
  <c r="D94" i="37"/>
  <c r="D89" i="37"/>
  <c r="D90" i="37"/>
  <c r="D92" i="37"/>
  <c r="D93" i="37"/>
  <c r="F83" i="37"/>
  <c r="F116" i="37"/>
  <c r="F48" i="37"/>
  <c r="F80" i="37"/>
  <c r="F77" i="37"/>
  <c r="F101" i="37"/>
  <c r="F88" i="37"/>
  <c r="F23" i="37"/>
  <c r="F74" i="37"/>
  <c r="F11" i="37"/>
  <c r="F60" i="37"/>
  <c r="E68" i="37"/>
  <c r="F71" i="37"/>
  <c r="F108" i="37"/>
  <c r="F111" i="37"/>
  <c r="F41" i="37"/>
  <c r="F96" i="37"/>
  <c r="F119" i="37"/>
  <c r="F18" i="37"/>
  <c r="F33" i="37"/>
  <c r="D67" i="34"/>
  <c r="E67" i="34"/>
  <c r="D113" i="34"/>
  <c r="K113" i="34"/>
  <c r="D114" i="34"/>
  <c r="Q114" i="34"/>
  <c r="E111" i="34"/>
  <c r="H27" i="34"/>
  <c r="E27" i="34"/>
  <c r="D60" i="34"/>
  <c r="D80" i="34"/>
  <c r="D68" i="34"/>
  <c r="Q68" i="34"/>
  <c r="F104" i="34"/>
  <c r="F18" i="34"/>
  <c r="D30" i="34"/>
  <c r="K30" i="34"/>
  <c r="F33" i="34"/>
  <c r="D48" i="34"/>
  <c r="D64" i="34"/>
  <c r="Q64" i="34"/>
  <c r="D96" i="34"/>
  <c r="D119" i="34"/>
  <c r="E88" i="34"/>
  <c r="D11" i="34"/>
  <c r="E11" i="34"/>
  <c r="E23" i="34"/>
  <c r="D31" i="34"/>
  <c r="Q31" i="34"/>
  <c r="D74" i="34"/>
  <c r="F88" i="34"/>
  <c r="D117" i="34"/>
  <c r="N117" i="34"/>
  <c r="D26" i="34"/>
  <c r="Q26" i="34"/>
  <c r="F11" i="34"/>
  <c r="D29" i="34"/>
  <c r="D41" i="34"/>
  <c r="F60" i="34"/>
  <c r="D63" i="34"/>
  <c r="Q63" i="34"/>
  <c r="F71" i="34"/>
  <c r="F74" i="34"/>
  <c r="F77" i="34"/>
  <c r="F80" i="34"/>
  <c r="F83" i="34"/>
  <c r="D102" i="34"/>
  <c r="Q102" i="34"/>
  <c r="F116" i="34"/>
  <c r="E19" i="34"/>
  <c r="D71" i="34"/>
  <c r="D14" i="34"/>
  <c r="N14" i="34"/>
  <c r="D12" i="34"/>
  <c r="K12" i="34"/>
  <c r="D18" i="34"/>
  <c r="D21" i="34"/>
  <c r="D24" i="34"/>
  <c r="F41" i="34"/>
  <c r="D66" i="34"/>
  <c r="K66" i="34"/>
  <c r="D124" i="34"/>
  <c r="D125" i="34"/>
  <c r="H125" i="34"/>
  <c r="Q20" i="50"/>
  <c r="Y20" i="50"/>
  <c r="E127" i="34"/>
  <c r="D28" i="34"/>
  <c r="D65" i="34"/>
  <c r="K65" i="34"/>
  <c r="D77" i="34"/>
  <c r="D83" i="34"/>
  <c r="F23" i="34"/>
  <c r="D15" i="34"/>
  <c r="Q15" i="34"/>
  <c r="D33" i="34"/>
  <c r="D61" i="34"/>
  <c r="Q61" i="34"/>
  <c r="D69" i="34"/>
  <c r="Q69" i="34"/>
  <c r="D72" i="34"/>
  <c r="K72" i="34"/>
  <c r="D75" i="34"/>
  <c r="Q75" i="34"/>
  <c r="D78" i="34"/>
  <c r="K78" i="34"/>
  <c r="D81" i="34"/>
  <c r="F101" i="34"/>
  <c r="E111" i="33"/>
  <c r="D11" i="33"/>
  <c r="E11" i="33"/>
  <c r="D71" i="33"/>
  <c r="D77" i="33"/>
  <c r="F88" i="33"/>
  <c r="D68" i="33"/>
  <c r="K68" i="33"/>
  <c r="F104" i="33"/>
  <c r="F18" i="33"/>
  <c r="F33" i="33"/>
  <c r="D48" i="33"/>
  <c r="D64" i="33"/>
  <c r="N64" i="33"/>
  <c r="D96" i="33"/>
  <c r="D119" i="33"/>
  <c r="F108" i="33"/>
  <c r="F111" i="33"/>
  <c r="D104" i="33"/>
  <c r="F119" i="33"/>
  <c r="D65" i="33"/>
  <c r="Q65" i="33"/>
  <c r="D83" i="33"/>
  <c r="D117" i="33"/>
  <c r="N117" i="33"/>
  <c r="F23" i="33"/>
  <c r="F11" i="33"/>
  <c r="D41" i="33"/>
  <c r="F60" i="33"/>
  <c r="D63" i="33"/>
  <c r="Q63" i="33"/>
  <c r="F71" i="33"/>
  <c r="F74" i="33"/>
  <c r="F77" i="33"/>
  <c r="F80" i="33"/>
  <c r="F83" i="33"/>
  <c r="D102" i="33"/>
  <c r="Q102" i="33"/>
  <c r="F116" i="33"/>
  <c r="E19" i="33"/>
  <c r="D80" i="33"/>
  <c r="D12" i="33"/>
  <c r="N12" i="33"/>
  <c r="D18" i="33"/>
  <c r="D21" i="33"/>
  <c r="F41" i="33"/>
  <c r="D66" i="33"/>
  <c r="N66" i="33"/>
  <c r="D92" i="33"/>
  <c r="K92" i="33"/>
  <c r="D124" i="33"/>
  <c r="D125" i="33"/>
  <c r="K125" i="33"/>
  <c r="S82" i="50"/>
  <c r="E127" i="33"/>
  <c r="D60" i="33"/>
  <c r="D74" i="33"/>
  <c r="D14" i="33"/>
  <c r="N14" i="33"/>
  <c r="D15" i="33"/>
  <c r="Q15" i="33"/>
  <c r="D33" i="33"/>
  <c r="D61" i="33"/>
  <c r="N61" i="33"/>
  <c r="D69" i="33"/>
  <c r="K69" i="33"/>
  <c r="D72" i="33"/>
  <c r="Q72" i="33"/>
  <c r="D75" i="33"/>
  <c r="Q75" i="33"/>
  <c r="D78" i="33"/>
  <c r="N78" i="33"/>
  <c r="D81" i="33"/>
  <c r="F101" i="33"/>
  <c r="F118" i="32"/>
  <c r="F47" i="32"/>
  <c r="F110" i="32"/>
  <c r="F100" i="32"/>
  <c r="F32" i="32"/>
  <c r="F82" i="32"/>
  <c r="F95" i="32"/>
  <c r="F103" i="32"/>
  <c r="F73" i="32"/>
  <c r="F87" i="32"/>
  <c r="F115" i="32"/>
  <c r="F70" i="32"/>
  <c r="F79" i="32"/>
  <c r="F40" i="32"/>
  <c r="F59" i="32"/>
  <c r="F22" i="32"/>
  <c r="F17" i="32"/>
  <c r="E45" i="32"/>
  <c r="H45" i="32"/>
  <c r="D97" i="32"/>
  <c r="N97" i="32"/>
  <c r="E95" i="32"/>
  <c r="D96" i="32"/>
  <c r="H48" i="32"/>
  <c r="E48" i="32"/>
  <c r="E13" i="32"/>
  <c r="D92" i="32"/>
  <c r="E87" i="32"/>
  <c r="E20" i="32"/>
  <c r="E105" i="32"/>
  <c r="E11" i="32"/>
  <c r="E17" i="32"/>
  <c r="E65" i="32"/>
  <c r="E84" i="32"/>
  <c r="D90" i="32"/>
  <c r="E103" i="32"/>
  <c r="E26" i="32"/>
  <c r="E60" i="32"/>
  <c r="E68" i="32"/>
  <c r="E82" i="32"/>
  <c r="E116" i="32"/>
  <c r="D38" i="32"/>
  <c r="D44" i="32"/>
  <c r="Q44" i="32"/>
  <c r="D55" i="32"/>
  <c r="K55" i="32"/>
  <c r="E79" i="32"/>
  <c r="D85" i="32"/>
  <c r="E12" i="32"/>
  <c r="D27" i="32"/>
  <c r="D33" i="32"/>
  <c r="N33" i="32"/>
  <c r="D50" i="32"/>
  <c r="Q50" i="32"/>
  <c r="H63" i="32"/>
  <c r="E66" i="32"/>
  <c r="D91" i="32"/>
  <c r="N91" i="32"/>
  <c r="E34" i="32"/>
  <c r="D43" i="32"/>
  <c r="N43" i="32"/>
  <c r="E62" i="32"/>
  <c r="D35" i="32"/>
  <c r="K35" i="32"/>
  <c r="D41" i="32"/>
  <c r="D52" i="32"/>
  <c r="N52" i="32"/>
  <c r="E47" i="32"/>
  <c r="E22" i="32"/>
  <c r="F76" i="32"/>
  <c r="F48" i="31"/>
  <c r="F60" i="31"/>
  <c r="F83" i="31"/>
  <c r="F101" i="31"/>
  <c r="F33" i="31"/>
  <c r="F119" i="31"/>
  <c r="F41" i="31"/>
  <c r="E126" i="31"/>
  <c r="F104" i="31"/>
  <c r="E111" i="31"/>
  <c r="F11" i="31"/>
  <c r="F74" i="31"/>
  <c r="F108" i="31"/>
  <c r="F77" i="31"/>
  <c r="F71" i="31"/>
  <c r="F18" i="31"/>
  <c r="F111" i="31"/>
  <c r="F23" i="31"/>
  <c r="F80" i="31"/>
  <c r="E84" i="25"/>
  <c r="D84" i="25"/>
  <c r="E92" i="25"/>
  <c r="D92" i="25"/>
  <c r="D94" i="25"/>
  <c r="E94" i="25"/>
  <c r="D79" i="25"/>
  <c r="D82" i="25"/>
  <c r="E82" i="25"/>
  <c r="E76" i="25"/>
  <c r="D74" i="25"/>
  <c r="D73" i="25"/>
  <c r="D71" i="25"/>
  <c r="D70" i="25"/>
  <c r="D68" i="25"/>
  <c r="D67" i="25"/>
  <c r="F134" i="25"/>
  <c r="D125" i="25"/>
  <c r="D124" i="25"/>
  <c r="E123" i="25"/>
  <c r="E122" i="25"/>
  <c r="E121" i="25"/>
  <c r="E120" i="25"/>
  <c r="D118" i="25"/>
  <c r="E118" i="25"/>
  <c r="D117" i="25"/>
  <c r="E117" i="25"/>
  <c r="D116" i="25"/>
  <c r="E116" i="25"/>
  <c r="D115" i="25"/>
  <c r="E115" i="25"/>
  <c r="E113" i="25"/>
  <c r="D109" i="25"/>
  <c r="E109" i="25"/>
  <c r="D108" i="25"/>
  <c r="E108" i="25"/>
  <c r="E107" i="25"/>
  <c r="E110" i="25"/>
  <c r="E105" i="25"/>
  <c r="D102" i="25"/>
  <c r="E102" i="25"/>
  <c r="D101" i="25"/>
  <c r="E101" i="25"/>
  <c r="E100" i="25"/>
  <c r="E98" i="25"/>
  <c r="E65" i="25"/>
  <c r="E64" i="25"/>
  <c r="E63" i="25"/>
  <c r="E62" i="25"/>
  <c r="E61" i="25"/>
  <c r="E60" i="25"/>
  <c r="E59" i="25"/>
  <c r="E58" i="25"/>
  <c r="E57" i="25"/>
  <c r="E56" i="25"/>
  <c r="D54" i="25"/>
  <c r="E54" i="25"/>
  <c r="D53" i="25"/>
  <c r="E53" i="25"/>
  <c r="D52" i="25"/>
  <c r="E52" i="25"/>
  <c r="D51" i="25"/>
  <c r="E51" i="25"/>
  <c r="D50" i="25"/>
  <c r="E50" i="25"/>
  <c r="D49" i="25"/>
  <c r="E49" i="25"/>
  <c r="D48" i="25"/>
  <c r="E48" i="25"/>
  <c r="D47" i="25"/>
  <c r="E47" i="25"/>
  <c r="E46" i="25"/>
  <c r="D45" i="25"/>
  <c r="E45" i="25"/>
  <c r="E44" i="25"/>
  <c r="E42" i="25"/>
  <c r="E41" i="25"/>
  <c r="E40" i="25"/>
  <c r="E39" i="25"/>
  <c r="E38" i="25"/>
  <c r="E35" i="25"/>
  <c r="E34" i="25"/>
  <c r="E33" i="25"/>
  <c r="E32" i="25"/>
  <c r="E31" i="25"/>
  <c r="E30" i="25"/>
  <c r="D27" i="25"/>
  <c r="E27" i="25"/>
  <c r="D26" i="25"/>
  <c r="E26" i="25"/>
  <c r="E25" i="25"/>
  <c r="D24" i="25"/>
  <c r="E24" i="25"/>
  <c r="D23" i="25"/>
  <c r="E23" i="25"/>
  <c r="D22" i="25"/>
  <c r="E22" i="25"/>
  <c r="E21" i="25"/>
  <c r="E20" i="25"/>
  <c r="E19" i="25"/>
  <c r="E17" i="25"/>
  <c r="E15" i="25"/>
  <c r="E14" i="25"/>
  <c r="E12" i="25"/>
  <c r="E11" i="25"/>
  <c r="E10" i="25"/>
  <c r="E9" i="25"/>
  <c r="E8" i="25"/>
  <c r="E7" i="25"/>
  <c r="E92" i="23"/>
  <c r="D92" i="23"/>
  <c r="E84" i="23"/>
  <c r="F135" i="23"/>
  <c r="D125" i="23"/>
  <c r="D124" i="23"/>
  <c r="E123" i="23"/>
  <c r="E122" i="23"/>
  <c r="E121" i="23"/>
  <c r="E120" i="23"/>
  <c r="D118" i="23"/>
  <c r="E118" i="23"/>
  <c r="D117" i="23"/>
  <c r="E117" i="23"/>
  <c r="D116" i="23"/>
  <c r="E116" i="23"/>
  <c r="D115" i="23"/>
  <c r="E115" i="23"/>
  <c r="E113" i="23"/>
  <c r="D110" i="23"/>
  <c r="E110" i="23"/>
  <c r="D109" i="23"/>
  <c r="E109" i="23"/>
  <c r="E107" i="23"/>
  <c r="E105" i="23"/>
  <c r="E108" i="23"/>
  <c r="D102" i="23"/>
  <c r="E102" i="23"/>
  <c r="D101" i="23"/>
  <c r="E101" i="23"/>
  <c r="E100" i="23"/>
  <c r="E98" i="23"/>
  <c r="E65" i="23"/>
  <c r="E64" i="23"/>
  <c r="E63" i="23"/>
  <c r="E62" i="23"/>
  <c r="E61" i="23"/>
  <c r="E60" i="23"/>
  <c r="E59" i="23"/>
  <c r="E58" i="23"/>
  <c r="E57" i="23"/>
  <c r="E56" i="23"/>
  <c r="D54" i="23"/>
  <c r="E54" i="23"/>
  <c r="D53" i="23"/>
  <c r="E53" i="23"/>
  <c r="D52" i="23"/>
  <c r="E52" i="23"/>
  <c r="D51" i="23"/>
  <c r="E51" i="23"/>
  <c r="D50" i="23"/>
  <c r="E50" i="23"/>
  <c r="D49" i="23"/>
  <c r="E49" i="23"/>
  <c r="D48" i="23"/>
  <c r="E48" i="23"/>
  <c r="D47" i="23"/>
  <c r="E47" i="23"/>
  <c r="D46" i="23"/>
  <c r="E46" i="23"/>
  <c r="D45" i="23"/>
  <c r="E45" i="23"/>
  <c r="E44" i="23"/>
  <c r="E42" i="23"/>
  <c r="E41" i="23"/>
  <c r="E40" i="23"/>
  <c r="E39" i="23"/>
  <c r="E38" i="23"/>
  <c r="E35" i="23"/>
  <c r="E34" i="23"/>
  <c r="E33" i="23"/>
  <c r="E32" i="23"/>
  <c r="E31" i="23"/>
  <c r="E30" i="23"/>
  <c r="D27" i="23"/>
  <c r="E27" i="23"/>
  <c r="D26" i="23"/>
  <c r="E26" i="23"/>
  <c r="D25" i="23"/>
  <c r="E25" i="23"/>
  <c r="D24" i="23"/>
  <c r="E24" i="23"/>
  <c r="D23" i="23"/>
  <c r="E23" i="23"/>
  <c r="D22" i="23"/>
  <c r="E22" i="23"/>
  <c r="D21" i="23"/>
  <c r="E21" i="23"/>
  <c r="D20" i="23"/>
  <c r="E20" i="23"/>
  <c r="E19" i="23"/>
  <c r="E17" i="23"/>
  <c r="E15" i="23"/>
  <c r="E14" i="23"/>
  <c r="E12" i="23"/>
  <c r="E10" i="23"/>
  <c r="E9" i="23"/>
  <c r="E8" i="23"/>
  <c r="E7" i="23"/>
  <c r="F136" i="22"/>
  <c r="D125" i="22"/>
  <c r="D124" i="22"/>
  <c r="E123" i="22"/>
  <c r="E122" i="22"/>
  <c r="E121" i="22"/>
  <c r="E120" i="22"/>
  <c r="D118" i="22"/>
  <c r="E118" i="22"/>
  <c r="D117" i="22"/>
  <c r="D116" i="22"/>
  <c r="E116" i="22"/>
  <c r="D115" i="22"/>
  <c r="E115" i="22"/>
  <c r="E113" i="22"/>
  <c r="D109" i="22"/>
  <c r="E109" i="22"/>
  <c r="D108" i="22"/>
  <c r="E108" i="22"/>
  <c r="D110" i="22"/>
  <c r="E110" i="22"/>
  <c r="D102" i="22"/>
  <c r="E102" i="22"/>
  <c r="D101" i="22"/>
  <c r="E101" i="22"/>
  <c r="E100" i="22"/>
  <c r="E98" i="22"/>
  <c r="D94" i="22"/>
  <c r="E94" i="22"/>
  <c r="D93" i="22"/>
  <c r="E93" i="22"/>
  <c r="E92" i="22"/>
  <c r="D90" i="22"/>
  <c r="E90" i="22"/>
  <c r="D89" i="22"/>
  <c r="D88" i="22"/>
  <c r="E88" i="22"/>
  <c r="D87" i="22"/>
  <c r="E87" i="22"/>
  <c r="D86" i="22"/>
  <c r="D85" i="22"/>
  <c r="E85" i="22"/>
  <c r="E84" i="22"/>
  <c r="D82" i="22"/>
  <c r="E82" i="22"/>
  <c r="D81" i="22"/>
  <c r="E81" i="22"/>
  <c r="D80" i="22"/>
  <c r="E80" i="22"/>
  <c r="E79" i="22"/>
  <c r="E70" i="22"/>
  <c r="E67" i="22"/>
  <c r="E65" i="22"/>
  <c r="E64" i="22"/>
  <c r="E63" i="22"/>
  <c r="E62" i="22"/>
  <c r="E61" i="22"/>
  <c r="E60" i="22"/>
  <c r="E59" i="22"/>
  <c r="E58" i="22"/>
  <c r="E57" i="22"/>
  <c r="E56" i="22"/>
  <c r="D54" i="22"/>
  <c r="E54" i="22"/>
  <c r="D53" i="22"/>
  <c r="E53" i="22"/>
  <c r="D52" i="22"/>
  <c r="E52" i="22"/>
  <c r="D51" i="22"/>
  <c r="E51" i="22"/>
  <c r="D50" i="22"/>
  <c r="E50" i="22"/>
  <c r="D49" i="22"/>
  <c r="E49" i="22"/>
  <c r="D48" i="22"/>
  <c r="E48" i="22"/>
  <c r="D47" i="22"/>
  <c r="E47" i="22"/>
  <c r="D46" i="22"/>
  <c r="E46" i="22"/>
  <c r="E45" i="22"/>
  <c r="E44" i="22"/>
  <c r="E42" i="22"/>
  <c r="E41" i="22"/>
  <c r="E40" i="22"/>
  <c r="E39" i="22"/>
  <c r="E38" i="22"/>
  <c r="E35" i="22"/>
  <c r="E34" i="22"/>
  <c r="E33" i="22"/>
  <c r="E32" i="22"/>
  <c r="E31" i="22"/>
  <c r="E30" i="22"/>
  <c r="D27" i="22"/>
  <c r="E27" i="22"/>
  <c r="D26" i="22"/>
  <c r="E26" i="22"/>
  <c r="D25" i="22"/>
  <c r="E25" i="22"/>
  <c r="D24" i="22"/>
  <c r="E24" i="22"/>
  <c r="D23" i="22"/>
  <c r="D22" i="22"/>
  <c r="E22" i="22"/>
  <c r="D21" i="22"/>
  <c r="E21" i="22"/>
  <c r="D20" i="22"/>
  <c r="E19" i="22"/>
  <c r="E17" i="22"/>
  <c r="E15" i="22"/>
  <c r="E14" i="22"/>
  <c r="E12" i="22"/>
  <c r="E11" i="22"/>
  <c r="E10" i="22"/>
  <c r="E9" i="22"/>
  <c r="H91" i="21"/>
  <c r="E91" i="21"/>
  <c r="H90" i="21"/>
  <c r="E90" i="21"/>
  <c r="H88" i="21"/>
  <c r="E88" i="21"/>
  <c r="H87" i="21"/>
  <c r="E87" i="21"/>
  <c r="H83" i="21"/>
  <c r="E83" i="21"/>
  <c r="H34" i="21"/>
  <c r="E34" i="21"/>
  <c r="H22" i="21"/>
  <c r="H83" i="20"/>
  <c r="H109" i="20"/>
  <c r="H91" i="20"/>
  <c r="E91" i="20"/>
  <c r="H90" i="20"/>
  <c r="E90" i="20"/>
  <c r="H88" i="20"/>
  <c r="E88" i="20"/>
  <c r="H87" i="20"/>
  <c r="E87" i="20"/>
  <c r="E83" i="20"/>
  <c r="H78" i="20"/>
  <c r="E78" i="20"/>
  <c r="E64" i="20"/>
  <c r="H59" i="20"/>
  <c r="E46" i="20"/>
  <c r="H34" i="20"/>
  <c r="E34" i="20"/>
  <c r="H25" i="20"/>
  <c r="E25" i="20"/>
  <c r="H22" i="20"/>
  <c r="O38" i="8"/>
  <c r="P38" i="8"/>
  <c r="O39" i="8"/>
  <c r="P39" i="8"/>
  <c r="O40" i="8"/>
  <c r="P40" i="8"/>
  <c r="O41" i="8"/>
  <c r="P41" i="8"/>
  <c r="O37" i="8"/>
  <c r="P37" i="8"/>
  <c r="I37" i="8"/>
  <c r="J37" i="8"/>
  <c r="C38" i="8"/>
  <c r="D38" i="8"/>
  <c r="C39" i="8"/>
  <c r="D39" i="8"/>
  <c r="C40" i="8"/>
  <c r="D40" i="8"/>
  <c r="C41" i="8"/>
  <c r="D41" i="8"/>
  <c r="C42" i="8"/>
  <c r="D42" i="8"/>
  <c r="C37" i="8"/>
  <c r="D37" i="8"/>
  <c r="H122" i="50"/>
  <c r="L122" i="50"/>
  <c r="F122" i="50"/>
  <c r="P45" i="8"/>
  <c r="W40" i="50"/>
  <c r="J122" i="50"/>
  <c r="Y71" i="50"/>
  <c r="AA71" i="50"/>
  <c r="D53" i="45"/>
  <c r="Q53" i="45"/>
  <c r="D56" i="45"/>
  <c r="Q56" i="45"/>
  <c r="K16" i="45"/>
  <c r="D58" i="45"/>
  <c r="N58" i="45"/>
  <c r="E108" i="45"/>
  <c r="D109" i="45"/>
  <c r="N109" i="45"/>
  <c r="D52" i="45"/>
  <c r="N52" i="45"/>
  <c r="D46" i="45"/>
  <c r="N46" i="45"/>
  <c r="D114" i="45"/>
  <c r="D112" i="45"/>
  <c r="K112" i="45"/>
  <c r="H13" i="43"/>
  <c r="N13" i="43"/>
  <c r="Q63" i="43"/>
  <c r="D112" i="43"/>
  <c r="N112" i="43"/>
  <c r="D109" i="43"/>
  <c r="N109" i="43"/>
  <c r="E108" i="43"/>
  <c r="E13" i="43"/>
  <c r="H12" i="43"/>
  <c r="N12" i="43"/>
  <c r="K125" i="42"/>
  <c r="N125" i="42"/>
  <c r="F60" i="50"/>
  <c r="D113" i="41"/>
  <c r="H113" i="41"/>
  <c r="D112" i="41"/>
  <c r="E112" i="41"/>
  <c r="D31" i="41"/>
  <c r="N31" i="41"/>
  <c r="E102" i="41"/>
  <c r="Q14" i="41"/>
  <c r="D114" i="40"/>
  <c r="D112" i="40"/>
  <c r="N13" i="40"/>
  <c r="Q117" i="40"/>
  <c r="Q13" i="40"/>
  <c r="D113" i="39"/>
  <c r="D112" i="39"/>
  <c r="N109" i="39"/>
  <c r="E111" i="38"/>
  <c r="D112" i="38"/>
  <c r="D26" i="37"/>
  <c r="K78" i="37"/>
  <c r="K112" i="32"/>
  <c r="N111" i="32"/>
  <c r="E112" i="32"/>
  <c r="K111" i="32"/>
  <c r="E111" i="32"/>
  <c r="Q108" i="32"/>
  <c r="J25" i="37"/>
  <c r="J25" i="40"/>
  <c r="J25" i="38"/>
  <c r="J25" i="45"/>
  <c r="J25" i="41"/>
  <c r="K25" i="41"/>
  <c r="J25" i="39"/>
  <c r="J25" i="42"/>
  <c r="J25" i="43"/>
  <c r="J25" i="33"/>
  <c r="J91" i="38"/>
  <c r="J91" i="45"/>
  <c r="J91" i="41"/>
  <c r="J91" i="39"/>
  <c r="J91" i="42"/>
  <c r="K91" i="42"/>
  <c r="J91" i="43"/>
  <c r="J91" i="33"/>
  <c r="J91" i="37"/>
  <c r="J91" i="40"/>
  <c r="J90" i="38"/>
  <c r="K90" i="38"/>
  <c r="J90" i="45"/>
  <c r="J90" i="41"/>
  <c r="J90" i="39"/>
  <c r="J90" i="42"/>
  <c r="J90" i="43"/>
  <c r="J90" i="33"/>
  <c r="J90" i="37"/>
  <c r="J90" i="40"/>
  <c r="J37" i="42"/>
  <c r="J37" i="43"/>
  <c r="J37" i="33"/>
  <c r="J37" i="37"/>
  <c r="J37" i="40"/>
  <c r="J37" i="38"/>
  <c r="J37" i="45"/>
  <c r="K37" i="45"/>
  <c r="J37" i="41"/>
  <c r="J37" i="39"/>
  <c r="G93" i="43"/>
  <c r="H93" i="43"/>
  <c r="G93" i="37"/>
  <c r="H93" i="37"/>
  <c r="G93" i="38"/>
  <c r="G93" i="40"/>
  <c r="G93" i="45"/>
  <c r="G93" i="41"/>
  <c r="G93" i="39"/>
  <c r="H93" i="39"/>
  <c r="G93" i="42"/>
  <c r="J81" i="37"/>
  <c r="J81" i="40"/>
  <c r="J81" i="38"/>
  <c r="K81" i="38"/>
  <c r="J81" i="45"/>
  <c r="J81" i="41"/>
  <c r="J81" i="39"/>
  <c r="J81" i="42"/>
  <c r="K81" i="42"/>
  <c r="D55" i="50"/>
  <c r="J81" i="43"/>
  <c r="J81" i="33"/>
  <c r="J93" i="37"/>
  <c r="K93" i="37"/>
  <c r="J93" i="40"/>
  <c r="J93" i="38"/>
  <c r="J93" i="45"/>
  <c r="J93" i="41"/>
  <c r="J93" i="39"/>
  <c r="K93" i="39"/>
  <c r="J93" i="42"/>
  <c r="J93" i="43"/>
  <c r="K93" i="43"/>
  <c r="J93" i="33"/>
  <c r="G94" i="43"/>
  <c r="G94" i="37"/>
  <c r="G94" i="38"/>
  <c r="H94" i="38"/>
  <c r="G94" i="40"/>
  <c r="G94" i="45"/>
  <c r="H94" i="45"/>
  <c r="G94" i="41"/>
  <c r="G94" i="39"/>
  <c r="G94" i="42"/>
  <c r="D60" i="50"/>
  <c r="J94" i="42"/>
  <c r="J94" i="33"/>
  <c r="J94" i="37"/>
  <c r="J94" i="40"/>
  <c r="J94" i="38"/>
  <c r="J94" i="45"/>
  <c r="J94" i="41"/>
  <c r="J94" i="39"/>
  <c r="J94" i="43"/>
  <c r="G91" i="38"/>
  <c r="G91" i="40"/>
  <c r="G91" i="45"/>
  <c r="H91" i="45"/>
  <c r="G91" i="41"/>
  <c r="G91" i="39"/>
  <c r="G91" i="42"/>
  <c r="H91" i="42"/>
  <c r="G91" i="43"/>
  <c r="G91" i="37"/>
  <c r="G37" i="42"/>
  <c r="G37" i="43"/>
  <c r="G37" i="37"/>
  <c r="G37" i="38"/>
  <c r="H37" i="38"/>
  <c r="G37" i="40"/>
  <c r="G37" i="45"/>
  <c r="H37" i="45"/>
  <c r="G37" i="41"/>
  <c r="G37" i="39"/>
  <c r="G86" i="45"/>
  <c r="G86" i="39"/>
  <c r="G86" i="42"/>
  <c r="G86" i="43"/>
  <c r="G86" i="37"/>
  <c r="G86" i="38"/>
  <c r="G86" i="40"/>
  <c r="G86" i="41"/>
  <c r="J86" i="41"/>
  <c r="J86" i="42"/>
  <c r="J86" i="43"/>
  <c r="J86" i="33"/>
  <c r="J86" i="37"/>
  <c r="J86" i="40"/>
  <c r="J86" i="38"/>
  <c r="J86" i="45"/>
  <c r="J86" i="39"/>
  <c r="K86" i="39"/>
  <c r="G90" i="45"/>
  <c r="G90" i="41"/>
  <c r="G90" i="39"/>
  <c r="G90" i="42"/>
  <c r="G90" i="43"/>
  <c r="G90" i="37"/>
  <c r="G90" i="38"/>
  <c r="G90" i="40"/>
  <c r="P93" i="37"/>
  <c r="P93" i="39"/>
  <c r="Q93" i="39"/>
  <c r="P93" i="38"/>
  <c r="P93" i="43"/>
  <c r="Q93" i="43"/>
  <c r="P93" i="41"/>
  <c r="P93" i="42"/>
  <c r="P93" i="40"/>
  <c r="P93" i="45"/>
  <c r="M91" i="38"/>
  <c r="M91" i="45"/>
  <c r="N91" i="45"/>
  <c r="M91" i="41"/>
  <c r="M91" i="43"/>
  <c r="M91" i="39"/>
  <c r="M91" i="42"/>
  <c r="M91" i="37"/>
  <c r="M91" i="40"/>
  <c r="M81" i="42"/>
  <c r="M81" i="37"/>
  <c r="M81" i="40"/>
  <c r="N81" i="40"/>
  <c r="U35" i="50"/>
  <c r="M81" i="38"/>
  <c r="M81" i="45"/>
  <c r="M81" i="39"/>
  <c r="M81" i="41"/>
  <c r="M81" i="43"/>
  <c r="N81" i="43"/>
  <c r="U117" i="50"/>
  <c r="Y117" i="50"/>
  <c r="M28" i="41"/>
  <c r="M28" i="43"/>
  <c r="M28" i="42"/>
  <c r="M28" i="37"/>
  <c r="N28" i="37"/>
  <c r="M28" i="40"/>
  <c r="M28" i="38"/>
  <c r="M28" i="45"/>
  <c r="M28" i="39"/>
  <c r="M94" i="42"/>
  <c r="M94" i="37"/>
  <c r="N94" i="37"/>
  <c r="M94" i="45"/>
  <c r="M94" i="40"/>
  <c r="M94" i="38"/>
  <c r="M94" i="39"/>
  <c r="M94" i="41"/>
  <c r="M94" i="43"/>
  <c r="P28" i="42"/>
  <c r="P28" i="40"/>
  <c r="P28" i="45"/>
  <c r="P28" i="37"/>
  <c r="P28" i="39"/>
  <c r="P28" i="38"/>
  <c r="P28" i="43"/>
  <c r="P28" i="41"/>
  <c r="M86" i="41"/>
  <c r="M86" i="43"/>
  <c r="M86" i="42"/>
  <c r="M86" i="40"/>
  <c r="M86" i="37"/>
  <c r="M86" i="38"/>
  <c r="M86" i="45"/>
  <c r="N86" i="45"/>
  <c r="M86" i="39"/>
  <c r="N86" i="39"/>
  <c r="P94" i="37"/>
  <c r="Q94" i="37"/>
  <c r="P94" i="45"/>
  <c r="Q94" i="45"/>
  <c r="P94" i="39"/>
  <c r="P94" i="38"/>
  <c r="P94" i="43"/>
  <c r="P94" i="41"/>
  <c r="P94" i="42"/>
  <c r="P94" i="40"/>
  <c r="M49" i="41"/>
  <c r="M49" i="43"/>
  <c r="M49" i="42"/>
  <c r="M49" i="37"/>
  <c r="M49" i="40"/>
  <c r="M49" i="38"/>
  <c r="M49" i="45"/>
  <c r="N49" i="45"/>
  <c r="M49" i="39"/>
  <c r="P91" i="38"/>
  <c r="Q91" i="38"/>
  <c r="P91" i="43"/>
  <c r="P91" i="41"/>
  <c r="P91" i="42"/>
  <c r="P91" i="40"/>
  <c r="P91" i="37"/>
  <c r="Q91" i="37"/>
  <c r="P91" i="45"/>
  <c r="Q91" i="45"/>
  <c r="P91" i="39"/>
  <c r="Q91" i="39"/>
  <c r="P25" i="37"/>
  <c r="Q25" i="37"/>
  <c r="P25" i="39"/>
  <c r="P25" i="38"/>
  <c r="P25" i="43"/>
  <c r="Q25" i="43"/>
  <c r="P25" i="41"/>
  <c r="P25" i="42"/>
  <c r="P25" i="40"/>
  <c r="P25" i="45"/>
  <c r="Q25" i="45"/>
  <c r="P62" i="41"/>
  <c r="P62" i="42"/>
  <c r="P62" i="40"/>
  <c r="P62" i="45"/>
  <c r="P62" i="37"/>
  <c r="Q62" i="37"/>
  <c r="P62" i="39"/>
  <c r="Q62" i="39"/>
  <c r="P62" i="38"/>
  <c r="P62" i="43"/>
  <c r="Q62" i="43"/>
  <c r="P81" i="37"/>
  <c r="Q81" i="37"/>
  <c r="H97" i="50"/>
  <c r="P81" i="39"/>
  <c r="Q81" i="39"/>
  <c r="W97" i="50"/>
  <c r="P81" i="38"/>
  <c r="P81" i="43"/>
  <c r="Q81" i="43"/>
  <c r="W117" i="50"/>
  <c r="P81" i="41"/>
  <c r="Q81" i="41"/>
  <c r="H117" i="50"/>
  <c r="P81" i="42"/>
  <c r="Q81" i="42"/>
  <c r="H55" i="50"/>
  <c r="P81" i="40"/>
  <c r="P81" i="45"/>
  <c r="M37" i="41"/>
  <c r="M37" i="43"/>
  <c r="M37" i="42"/>
  <c r="M37" i="37"/>
  <c r="M37" i="40"/>
  <c r="M37" i="38"/>
  <c r="M37" i="45"/>
  <c r="M37" i="39"/>
  <c r="M90" i="38"/>
  <c r="N90" i="38"/>
  <c r="M90" i="45"/>
  <c r="M90" i="39"/>
  <c r="M90" i="41"/>
  <c r="N90" i="41"/>
  <c r="M90" i="43"/>
  <c r="M90" i="42"/>
  <c r="M90" i="37"/>
  <c r="M90" i="40"/>
  <c r="P112" i="37"/>
  <c r="P112" i="39"/>
  <c r="Q112" i="39"/>
  <c r="P112" i="38"/>
  <c r="Q112" i="38"/>
  <c r="P112" i="43"/>
  <c r="P112" i="41"/>
  <c r="Q112" i="41"/>
  <c r="P112" i="42"/>
  <c r="P112" i="40"/>
  <c r="P112" i="45"/>
  <c r="Q112" i="45"/>
  <c r="P37" i="42"/>
  <c r="P37" i="37"/>
  <c r="P37" i="45"/>
  <c r="P37" i="39"/>
  <c r="P37" i="38"/>
  <c r="P37" i="43"/>
  <c r="P37" i="41"/>
  <c r="P37" i="40"/>
  <c r="P90" i="41"/>
  <c r="P90" i="42"/>
  <c r="P90" i="40"/>
  <c r="Q90" i="40"/>
  <c r="P90" i="45"/>
  <c r="P90" i="37"/>
  <c r="P90" i="39"/>
  <c r="P90" i="38"/>
  <c r="P90" i="43"/>
  <c r="P86" i="42"/>
  <c r="Q86" i="42"/>
  <c r="P86" i="40"/>
  <c r="P86" i="37"/>
  <c r="P86" i="45"/>
  <c r="P86" i="39"/>
  <c r="P86" i="38"/>
  <c r="P86" i="43"/>
  <c r="P86" i="41"/>
  <c r="Q93" i="37"/>
  <c r="Q90" i="37"/>
  <c r="M67" i="41"/>
  <c r="N67" i="41"/>
  <c r="M67" i="43"/>
  <c r="M67" i="42"/>
  <c r="N67" i="42"/>
  <c r="M67" i="37"/>
  <c r="M67" i="40"/>
  <c r="M67" i="38"/>
  <c r="N67" i="38"/>
  <c r="M67" i="45"/>
  <c r="N67" i="45"/>
  <c r="M67" i="39"/>
  <c r="M93" i="42"/>
  <c r="M93" i="37"/>
  <c r="M93" i="40"/>
  <c r="M93" i="38"/>
  <c r="M93" i="45"/>
  <c r="N93" i="45"/>
  <c r="M93" i="39"/>
  <c r="N93" i="39"/>
  <c r="M93" i="41"/>
  <c r="N93" i="41"/>
  <c r="M93" i="43"/>
  <c r="N93" i="43"/>
  <c r="N62" i="34"/>
  <c r="D106" i="34"/>
  <c r="K106" i="34"/>
  <c r="AA9" i="50"/>
  <c r="D109" i="34"/>
  <c r="K109" i="34"/>
  <c r="E108" i="34"/>
  <c r="K62" i="34"/>
  <c r="E62" i="34"/>
  <c r="K105" i="34"/>
  <c r="Q105" i="34"/>
  <c r="E104" i="34"/>
  <c r="H105" i="34"/>
  <c r="Y9" i="50"/>
  <c r="D109" i="33"/>
  <c r="E108" i="33"/>
  <c r="Q112" i="32"/>
  <c r="F8" i="50"/>
  <c r="J8" i="50"/>
  <c r="K29" i="32"/>
  <c r="D8" i="50"/>
  <c r="H8" i="50"/>
  <c r="L9" i="50"/>
  <c r="J9" i="50"/>
  <c r="D42" i="31"/>
  <c r="K42" i="31"/>
  <c r="E94" i="37"/>
  <c r="K15" i="37"/>
  <c r="Q15" i="37"/>
  <c r="K61" i="37"/>
  <c r="Q61" i="37"/>
  <c r="E19" i="37"/>
  <c r="Q19" i="37"/>
  <c r="H91" i="50"/>
  <c r="K58" i="37"/>
  <c r="Q58" i="37"/>
  <c r="E63" i="37"/>
  <c r="Q63" i="37"/>
  <c r="H62" i="37"/>
  <c r="E102" i="37"/>
  <c r="Q102" i="37"/>
  <c r="H81" i="37"/>
  <c r="B97" i="50"/>
  <c r="E67" i="37"/>
  <c r="Q67" i="37"/>
  <c r="H14" i="37"/>
  <c r="Q14" i="37"/>
  <c r="H72" i="37"/>
  <c r="Q72" i="37"/>
  <c r="H12" i="37"/>
  <c r="Q12" i="37"/>
  <c r="H65" i="37"/>
  <c r="Q65" i="37"/>
  <c r="H66" i="37"/>
  <c r="Q66" i="37"/>
  <c r="H24" i="37"/>
  <c r="Q24" i="37"/>
  <c r="E111" i="37"/>
  <c r="D112" i="37"/>
  <c r="E112" i="37"/>
  <c r="E117" i="37"/>
  <c r="Q117" i="37"/>
  <c r="E66" i="37"/>
  <c r="H26" i="37"/>
  <c r="Q26" i="37"/>
  <c r="H75" i="37"/>
  <c r="Q75" i="37"/>
  <c r="H68" i="37"/>
  <c r="Q68" i="37"/>
  <c r="K109" i="37"/>
  <c r="Q109" i="37"/>
  <c r="N89" i="37"/>
  <c r="Q89" i="37"/>
  <c r="H16" i="37"/>
  <c r="Q16" i="37"/>
  <c r="E92" i="37"/>
  <c r="Q92" i="37"/>
  <c r="E65" i="37"/>
  <c r="H78" i="37"/>
  <c r="Q78" i="37"/>
  <c r="N69" i="37"/>
  <c r="Q69" i="37"/>
  <c r="N53" i="31"/>
  <c r="Q53" i="31"/>
  <c r="Q65" i="31"/>
  <c r="E53" i="31"/>
  <c r="E113" i="32"/>
  <c r="H113" i="32"/>
  <c r="B18" i="50"/>
  <c r="H56" i="32"/>
  <c r="D109" i="31"/>
  <c r="E108" i="31"/>
  <c r="D56" i="31"/>
  <c r="N75" i="43"/>
  <c r="E111" i="43"/>
  <c r="D113" i="43"/>
  <c r="Q113" i="43"/>
  <c r="D114" i="43"/>
  <c r="N114" i="43"/>
  <c r="K75" i="43"/>
  <c r="E66" i="43"/>
  <c r="Q75" i="43"/>
  <c r="E23" i="45"/>
  <c r="D28" i="45"/>
  <c r="K28" i="45"/>
  <c r="D24" i="45"/>
  <c r="H24" i="45"/>
  <c r="N121" i="45"/>
  <c r="Q63" i="45"/>
  <c r="K31" i="45"/>
  <c r="E31" i="45"/>
  <c r="E43" i="45"/>
  <c r="Q121" i="45"/>
  <c r="E66" i="45"/>
  <c r="H43" i="45"/>
  <c r="N16" i="45"/>
  <c r="D120" i="45"/>
  <c r="K120" i="45"/>
  <c r="E119" i="45"/>
  <c r="D90" i="45"/>
  <c r="E90" i="45"/>
  <c r="K63" i="45"/>
  <c r="K72" i="45"/>
  <c r="N63" i="45"/>
  <c r="K12" i="45"/>
  <c r="K121" i="45"/>
  <c r="D92" i="45"/>
  <c r="E92" i="45"/>
  <c r="Q16" i="45"/>
  <c r="Q12" i="45"/>
  <c r="E63" i="45"/>
  <c r="D45" i="45"/>
  <c r="K45" i="45"/>
  <c r="E12" i="45"/>
  <c r="E121" i="45"/>
  <c r="D91" i="45"/>
  <c r="E91" i="45"/>
  <c r="N12" i="45"/>
  <c r="D30" i="45"/>
  <c r="K30" i="45"/>
  <c r="D42" i="45"/>
  <c r="Q42" i="45"/>
  <c r="D94" i="45"/>
  <c r="E94" i="45"/>
  <c r="H16" i="45"/>
  <c r="D122" i="45"/>
  <c r="H122" i="45"/>
  <c r="N31" i="45"/>
  <c r="D29" i="45"/>
  <c r="H29" i="45"/>
  <c r="Q66" i="43"/>
  <c r="N15" i="43"/>
  <c r="E15" i="43"/>
  <c r="D94" i="43"/>
  <c r="E94" i="43"/>
  <c r="D90" i="43"/>
  <c r="E90" i="43"/>
  <c r="K15" i="43"/>
  <c r="N43" i="43"/>
  <c r="Q19" i="41"/>
  <c r="H111" i="50"/>
  <c r="E13" i="41"/>
  <c r="D46" i="41"/>
  <c r="E46" i="41"/>
  <c r="D44" i="41"/>
  <c r="N44" i="41"/>
  <c r="D45" i="41"/>
  <c r="K45" i="41"/>
  <c r="N42" i="41"/>
  <c r="K42" i="41"/>
  <c r="E42" i="41"/>
  <c r="Q13" i="41"/>
  <c r="Q42" i="41"/>
  <c r="K19" i="41"/>
  <c r="D111" i="50"/>
  <c r="K13" i="41"/>
  <c r="D43" i="41"/>
  <c r="E43" i="41"/>
  <c r="N13" i="41"/>
  <c r="H19" i="41"/>
  <c r="B111" i="50"/>
  <c r="N19" i="41"/>
  <c r="F111" i="50"/>
  <c r="D28" i="37"/>
  <c r="Q28" i="37"/>
  <c r="D29" i="37"/>
  <c r="E29" i="37"/>
  <c r="D114" i="37"/>
  <c r="N114" i="37"/>
  <c r="E16" i="37"/>
  <c r="K65" i="37"/>
  <c r="N72" i="37"/>
  <c r="D113" i="37"/>
  <c r="K117" i="37"/>
  <c r="N117" i="37"/>
  <c r="K72" i="37"/>
  <c r="N65" i="37"/>
  <c r="H117" i="37"/>
  <c r="N16" i="37"/>
  <c r="K68" i="37"/>
  <c r="H62" i="39"/>
  <c r="D90" i="39"/>
  <c r="E90" i="39"/>
  <c r="D91" i="39"/>
  <c r="E91" i="39"/>
  <c r="D89" i="40"/>
  <c r="E89" i="40"/>
  <c r="E111" i="40"/>
  <c r="D92" i="40"/>
  <c r="E92" i="40"/>
  <c r="D114" i="39"/>
  <c r="N113" i="39"/>
  <c r="E111" i="39"/>
  <c r="N114" i="39"/>
  <c r="H120" i="38"/>
  <c r="D121" i="38"/>
  <c r="N121" i="38"/>
  <c r="D34" i="38"/>
  <c r="N34" i="38"/>
  <c r="K64" i="37"/>
  <c r="D57" i="37"/>
  <c r="H19" i="37"/>
  <c r="B91" i="50"/>
  <c r="E48" i="37"/>
  <c r="N75" i="37"/>
  <c r="K66" i="37"/>
  <c r="N66" i="37"/>
  <c r="E13" i="34"/>
  <c r="D31" i="33"/>
  <c r="K31" i="33"/>
  <c r="D26" i="33"/>
  <c r="Q26" i="33"/>
  <c r="D24" i="33"/>
  <c r="D29" i="33"/>
  <c r="D30" i="33"/>
  <c r="Q30" i="33"/>
  <c r="D113" i="33"/>
  <c r="K113" i="33"/>
  <c r="K13" i="33"/>
  <c r="E23" i="33"/>
  <c r="E51" i="32"/>
  <c r="K54" i="32"/>
  <c r="N108" i="32"/>
  <c r="K108" i="32"/>
  <c r="D18" i="50"/>
  <c r="D97" i="31"/>
  <c r="H97" i="31"/>
  <c r="D28" i="31"/>
  <c r="E38" i="31"/>
  <c r="H78" i="31"/>
  <c r="Q13" i="33"/>
  <c r="N16" i="33"/>
  <c r="K16" i="33"/>
  <c r="Q16" i="33"/>
  <c r="D114" i="33"/>
  <c r="Q114" i="33"/>
  <c r="H16" i="33"/>
  <c r="H13" i="33"/>
  <c r="N13" i="33"/>
  <c r="F20" i="50"/>
  <c r="J20" i="50"/>
  <c r="E49" i="32"/>
  <c r="Q49" i="32"/>
  <c r="E124" i="32"/>
  <c r="Q124" i="32"/>
  <c r="H20" i="50"/>
  <c r="L20" i="50"/>
  <c r="K56" i="32"/>
  <c r="E30" i="32"/>
  <c r="E28" i="32"/>
  <c r="E25" i="32"/>
  <c r="H68" i="31"/>
  <c r="G90" i="31"/>
  <c r="G90" i="33"/>
  <c r="G89" i="32"/>
  <c r="H89" i="32"/>
  <c r="G90" i="34"/>
  <c r="G81" i="33"/>
  <c r="H81" i="33"/>
  <c r="Q77" i="50"/>
  <c r="G81" i="31"/>
  <c r="H81" i="31"/>
  <c r="B77" i="50"/>
  <c r="G81" i="34"/>
  <c r="G80" i="32"/>
  <c r="H80" i="32"/>
  <c r="B15" i="50"/>
  <c r="G93" i="34"/>
  <c r="G93" i="31"/>
  <c r="G92" i="32"/>
  <c r="H92" i="32"/>
  <c r="G93" i="33"/>
  <c r="G94" i="33"/>
  <c r="H94" i="33"/>
  <c r="G94" i="34"/>
  <c r="G94" i="31"/>
  <c r="H94" i="31"/>
  <c r="G93" i="32"/>
  <c r="H93" i="32"/>
  <c r="G86" i="31"/>
  <c r="H86" i="31"/>
  <c r="G86" i="33"/>
  <c r="G86" i="34"/>
  <c r="G85" i="32"/>
  <c r="H85" i="32"/>
  <c r="B14" i="50"/>
  <c r="G91" i="31"/>
  <c r="G91" i="33"/>
  <c r="H91" i="33"/>
  <c r="G90" i="32"/>
  <c r="H90" i="32"/>
  <c r="G91" i="34"/>
  <c r="H91" i="34"/>
  <c r="G36" i="32"/>
  <c r="H36" i="32"/>
  <c r="G37" i="33"/>
  <c r="G37" i="34"/>
  <c r="G37" i="31"/>
  <c r="E108" i="32"/>
  <c r="N16" i="34"/>
  <c r="E16" i="34"/>
  <c r="K68" i="34"/>
  <c r="K13" i="34"/>
  <c r="N75" i="34"/>
  <c r="E125" i="34"/>
  <c r="K75" i="34"/>
  <c r="Q16" i="34"/>
  <c r="K16" i="34"/>
  <c r="N68" i="34"/>
  <c r="Q14" i="34"/>
  <c r="N125" i="34"/>
  <c r="U20" i="50"/>
  <c r="Q13" i="34"/>
  <c r="N13" i="34"/>
  <c r="Q125" i="34"/>
  <c r="W20" i="50"/>
  <c r="Q67" i="34"/>
  <c r="Q78" i="34"/>
  <c r="H78" i="34"/>
  <c r="K125" i="34"/>
  <c r="S20" i="50"/>
  <c r="D92" i="39"/>
  <c r="E92" i="39"/>
  <c r="D26" i="39"/>
  <c r="N26" i="39"/>
  <c r="D28" i="39"/>
  <c r="E28" i="39"/>
  <c r="D94" i="39"/>
  <c r="E94" i="39"/>
  <c r="D36" i="38"/>
  <c r="K36" i="38"/>
  <c r="H97" i="38"/>
  <c r="D122" i="38"/>
  <c r="K122" i="38"/>
  <c r="Q125" i="38"/>
  <c r="H40" i="50"/>
  <c r="D35" i="38"/>
  <c r="K35" i="38"/>
  <c r="E119" i="38"/>
  <c r="N61" i="42"/>
  <c r="Q85" i="42"/>
  <c r="N64" i="42"/>
  <c r="D25" i="45"/>
  <c r="H25" i="45"/>
  <c r="Q13" i="45"/>
  <c r="D36" i="45"/>
  <c r="Q38" i="45"/>
  <c r="N75" i="45"/>
  <c r="N14" i="45"/>
  <c r="Q72" i="45"/>
  <c r="D113" i="45"/>
  <c r="Q113" i="45"/>
  <c r="N15" i="45"/>
  <c r="Q19" i="45"/>
  <c r="W49" i="50"/>
  <c r="D27" i="45"/>
  <c r="H27" i="45"/>
  <c r="K38" i="45"/>
  <c r="E30" i="45"/>
  <c r="N13" i="45"/>
  <c r="Q105" i="45"/>
  <c r="Q31" i="45"/>
  <c r="E13" i="45"/>
  <c r="E38" i="45"/>
  <c r="D44" i="45"/>
  <c r="H44" i="45"/>
  <c r="Q75" i="45"/>
  <c r="N19" i="45"/>
  <c r="U49" i="50"/>
  <c r="D35" i="45"/>
  <c r="Q35" i="45"/>
  <c r="D26" i="45"/>
  <c r="Q26" i="45"/>
  <c r="K53" i="45"/>
  <c r="Q61" i="45"/>
  <c r="D50" i="45"/>
  <c r="Q50" i="45"/>
  <c r="D57" i="45"/>
  <c r="N57" i="45"/>
  <c r="N117" i="45"/>
  <c r="N45" i="45"/>
  <c r="Q68" i="45"/>
  <c r="Q34" i="45"/>
  <c r="K69" i="45"/>
  <c r="K34" i="45"/>
  <c r="N56" i="45"/>
  <c r="K52" i="45"/>
  <c r="K56" i="45"/>
  <c r="Q117" i="45"/>
  <c r="N36" i="45"/>
  <c r="Q66" i="45"/>
  <c r="N66" i="45"/>
  <c r="F133" i="45"/>
  <c r="Q114" i="45"/>
  <c r="K114" i="45"/>
  <c r="N114" i="45"/>
  <c r="E25" i="45"/>
  <c r="E104" i="45"/>
  <c r="Q51" i="45"/>
  <c r="N72" i="45"/>
  <c r="Q52" i="45"/>
  <c r="N62" i="45"/>
  <c r="Q78" i="45"/>
  <c r="N105" i="45"/>
  <c r="N112" i="45"/>
  <c r="E19" i="45"/>
  <c r="H19" i="45"/>
  <c r="Q49" i="50"/>
  <c r="D86" i="45"/>
  <c r="D85" i="45"/>
  <c r="D84" i="45"/>
  <c r="E125" i="45"/>
  <c r="H125" i="45"/>
  <c r="Q60" i="50"/>
  <c r="N125" i="45"/>
  <c r="U60" i="50"/>
  <c r="H14" i="45"/>
  <c r="E14" i="45"/>
  <c r="K75" i="45"/>
  <c r="N102" i="45"/>
  <c r="Q122" i="45"/>
  <c r="K65" i="45"/>
  <c r="H15" i="45"/>
  <c r="E15" i="45"/>
  <c r="K102" i="45"/>
  <c r="K46" i="45"/>
  <c r="Q109" i="45"/>
  <c r="Q46" i="45"/>
  <c r="D106" i="45"/>
  <c r="E106" i="45"/>
  <c r="K89" i="45"/>
  <c r="Q14" i="45"/>
  <c r="K66" i="45"/>
  <c r="Q15" i="45"/>
  <c r="K49" i="45"/>
  <c r="K105" i="45"/>
  <c r="K78" i="45"/>
  <c r="N53" i="45"/>
  <c r="Q65" i="45"/>
  <c r="D54" i="45"/>
  <c r="D55" i="45"/>
  <c r="H105" i="45"/>
  <c r="K92" i="45"/>
  <c r="K57" i="45"/>
  <c r="N51" i="45"/>
  <c r="K58" i="45"/>
  <c r="Q67" i="45"/>
  <c r="H69" i="45"/>
  <c r="E69" i="45"/>
  <c r="E68" i="45"/>
  <c r="H68" i="45"/>
  <c r="K13" i="45"/>
  <c r="K125" i="45"/>
  <c r="S60" i="50"/>
  <c r="K68" i="45"/>
  <c r="N78" i="45"/>
  <c r="Q125" i="45"/>
  <c r="W60" i="50"/>
  <c r="H61" i="45"/>
  <c r="E61" i="45"/>
  <c r="H35" i="45"/>
  <c r="E35" i="45"/>
  <c r="E26" i="45"/>
  <c r="K61" i="45"/>
  <c r="D28" i="43"/>
  <c r="N64" i="43"/>
  <c r="D97" i="43"/>
  <c r="K97" i="43"/>
  <c r="Q15" i="43"/>
  <c r="E117" i="43"/>
  <c r="E63" i="43"/>
  <c r="D91" i="43"/>
  <c r="E91" i="43"/>
  <c r="E125" i="43"/>
  <c r="N63" i="43"/>
  <c r="D51" i="43"/>
  <c r="K51" i="43"/>
  <c r="E12" i="43"/>
  <c r="K112" i="43"/>
  <c r="F133" i="43"/>
  <c r="N78" i="43"/>
  <c r="K13" i="43"/>
  <c r="D57" i="43"/>
  <c r="K57" i="43"/>
  <c r="N125" i="43"/>
  <c r="U122" i="50"/>
  <c r="Y122" i="50"/>
  <c r="Q64" i="43"/>
  <c r="Q13" i="43"/>
  <c r="E64" i="43"/>
  <c r="K14" i="43"/>
  <c r="Q78" i="43"/>
  <c r="N66" i="43"/>
  <c r="E43" i="43"/>
  <c r="N62" i="43"/>
  <c r="K67" i="43"/>
  <c r="K61" i="43"/>
  <c r="K72" i="43"/>
  <c r="D31" i="43"/>
  <c r="D26" i="43"/>
  <c r="D25" i="43"/>
  <c r="D30" i="43"/>
  <c r="D24" i="43"/>
  <c r="D29" i="43"/>
  <c r="D27" i="43"/>
  <c r="D86" i="43"/>
  <c r="D85" i="43"/>
  <c r="D84" i="43"/>
  <c r="Q43" i="43"/>
  <c r="K58" i="43"/>
  <c r="N72" i="43"/>
  <c r="K125" i="43"/>
  <c r="S122" i="50"/>
  <c r="K109" i="43"/>
  <c r="K68" i="43"/>
  <c r="H14" i="43"/>
  <c r="E14" i="43"/>
  <c r="N68" i="43"/>
  <c r="D105" i="43"/>
  <c r="D106" i="43"/>
  <c r="Q61" i="43"/>
  <c r="N117" i="43"/>
  <c r="N102" i="43"/>
  <c r="D37" i="43"/>
  <c r="D35" i="43"/>
  <c r="D38" i="43"/>
  <c r="K65" i="43"/>
  <c r="Q72" i="43"/>
  <c r="Q102" i="43"/>
  <c r="D54" i="43"/>
  <c r="D55" i="43"/>
  <c r="D52" i="43"/>
  <c r="Q109" i="43"/>
  <c r="N58" i="43"/>
  <c r="E16" i="43"/>
  <c r="H16" i="43"/>
  <c r="E19" i="43"/>
  <c r="H19" i="43"/>
  <c r="Q111" i="50"/>
  <c r="N69" i="43"/>
  <c r="D34" i="43"/>
  <c r="D56" i="43"/>
  <c r="H56" i="43"/>
  <c r="D53" i="43"/>
  <c r="D50" i="43"/>
  <c r="E50" i="43"/>
  <c r="D49" i="43"/>
  <c r="H49" i="43"/>
  <c r="N16" i="43"/>
  <c r="K117" i="43"/>
  <c r="Q65" i="43"/>
  <c r="K64" i="43"/>
  <c r="Q69" i="43"/>
  <c r="E48" i="43"/>
  <c r="D42" i="43"/>
  <c r="E42" i="43"/>
  <c r="D46" i="43"/>
  <c r="H46" i="43"/>
  <c r="D89" i="43"/>
  <c r="E89" i="43"/>
  <c r="Q19" i="43"/>
  <c r="W111" i="50"/>
  <c r="K19" i="43"/>
  <c r="S111" i="50"/>
  <c r="K63" i="43"/>
  <c r="N19" i="43"/>
  <c r="U111" i="50"/>
  <c r="Q12" i="43"/>
  <c r="Q14" i="43"/>
  <c r="K78" i="43"/>
  <c r="K12" i="43"/>
  <c r="Q16" i="43"/>
  <c r="Q117" i="43"/>
  <c r="D45" i="43"/>
  <c r="H45" i="43"/>
  <c r="D36" i="43"/>
  <c r="H36" i="43"/>
  <c r="D44" i="43"/>
  <c r="H44" i="43"/>
  <c r="D92" i="43"/>
  <c r="H92" i="43"/>
  <c r="Q125" i="43"/>
  <c r="W122" i="50"/>
  <c r="N61" i="43"/>
  <c r="K66" i="43"/>
  <c r="K16" i="43"/>
  <c r="Q13" i="42"/>
  <c r="Q63" i="42"/>
  <c r="N13" i="42"/>
  <c r="E66" i="41"/>
  <c r="D34" i="41"/>
  <c r="E34" i="41"/>
  <c r="D92" i="41"/>
  <c r="E92" i="41"/>
  <c r="D91" i="41"/>
  <c r="E91" i="41"/>
  <c r="N64" i="41"/>
  <c r="D94" i="41"/>
  <c r="E94" i="41"/>
  <c r="N109" i="41"/>
  <c r="E111" i="41"/>
  <c r="K67" i="41"/>
  <c r="K69" i="41"/>
  <c r="N69" i="41"/>
  <c r="D89" i="41"/>
  <c r="E89" i="41"/>
  <c r="Q12" i="41"/>
  <c r="N16" i="41"/>
  <c r="D27" i="41"/>
  <c r="H27" i="41"/>
  <c r="D26" i="41"/>
  <c r="N26" i="41"/>
  <c r="D90" i="41"/>
  <c r="E90" i="41"/>
  <c r="N63" i="41"/>
  <c r="E67" i="41"/>
  <c r="Q67" i="41"/>
  <c r="Q16" i="41"/>
  <c r="N61" i="41"/>
  <c r="H61" i="41"/>
  <c r="N68" i="41"/>
  <c r="E23" i="41"/>
  <c r="E16" i="41"/>
  <c r="D97" i="41"/>
  <c r="Q97" i="41"/>
  <c r="Q61" i="41"/>
  <c r="K16" i="41"/>
  <c r="N102" i="41"/>
  <c r="E24" i="41"/>
  <c r="D28" i="41"/>
  <c r="N113" i="41"/>
  <c r="K61" i="41"/>
  <c r="H51" i="41"/>
  <c r="E51" i="41"/>
  <c r="D122" i="41"/>
  <c r="D120" i="41"/>
  <c r="D121" i="41"/>
  <c r="E119" i="41"/>
  <c r="E65" i="41"/>
  <c r="E12" i="41"/>
  <c r="D114" i="41"/>
  <c r="E114" i="41"/>
  <c r="E113" i="41"/>
  <c r="N72" i="41"/>
  <c r="K66" i="41"/>
  <c r="D29" i="41"/>
  <c r="H29" i="41"/>
  <c r="D30" i="41"/>
  <c r="K117" i="41"/>
  <c r="N66" i="41"/>
  <c r="N15" i="41"/>
  <c r="D86" i="41"/>
  <c r="D84" i="41"/>
  <c r="D56" i="41"/>
  <c r="E48" i="41"/>
  <c r="D53" i="41"/>
  <c r="D55" i="41"/>
  <c r="D50" i="41"/>
  <c r="D49" i="41"/>
  <c r="E63" i="41"/>
  <c r="Q66" i="41"/>
  <c r="Q63" i="41"/>
  <c r="D54" i="41"/>
  <c r="H54" i="41"/>
  <c r="K63" i="41"/>
  <c r="E64" i="41"/>
  <c r="H64" i="41"/>
  <c r="E117" i="41"/>
  <c r="H117" i="41"/>
  <c r="Q15" i="41"/>
  <c r="N117" i="41"/>
  <c r="D57" i="41"/>
  <c r="Q57" i="41"/>
  <c r="H69" i="41"/>
  <c r="E69" i="41"/>
  <c r="D58" i="41"/>
  <c r="Q58" i="41"/>
  <c r="H15" i="41"/>
  <c r="B110" i="50"/>
  <c r="N65" i="41"/>
  <c r="K65" i="41"/>
  <c r="N62" i="41"/>
  <c r="K102" i="41"/>
  <c r="D106" i="41"/>
  <c r="D105" i="41"/>
  <c r="E104" i="41"/>
  <c r="K12" i="41"/>
  <c r="K72" i="41"/>
  <c r="E62" i="41"/>
  <c r="K62" i="41"/>
  <c r="D37" i="41"/>
  <c r="D39" i="41"/>
  <c r="D35" i="41"/>
  <c r="D36" i="41"/>
  <c r="H112" i="41"/>
  <c r="Q65" i="41"/>
  <c r="K113" i="41"/>
  <c r="K15" i="41"/>
  <c r="Q113" i="41"/>
  <c r="Q72" i="41"/>
  <c r="E81" i="41"/>
  <c r="H81" i="41"/>
  <c r="B117" i="50"/>
  <c r="D52" i="41"/>
  <c r="H52" i="41"/>
  <c r="N112" i="41"/>
  <c r="N12" i="41"/>
  <c r="Q102" i="41"/>
  <c r="K112" i="41"/>
  <c r="K68" i="41"/>
  <c r="K125" i="40"/>
  <c r="S40" i="50"/>
  <c r="K64" i="40"/>
  <c r="D91" i="40"/>
  <c r="E91" i="40"/>
  <c r="K72" i="40"/>
  <c r="D93" i="40"/>
  <c r="E93" i="40"/>
  <c r="Q102" i="40"/>
  <c r="D94" i="40"/>
  <c r="E94" i="40"/>
  <c r="Q69" i="40"/>
  <c r="K62" i="40"/>
  <c r="N16" i="40"/>
  <c r="Q72" i="40"/>
  <c r="K15" i="40"/>
  <c r="N69" i="40"/>
  <c r="N117" i="40"/>
  <c r="N19" i="40"/>
  <c r="U29" i="50"/>
  <c r="Q114" i="40"/>
  <c r="N114" i="40"/>
  <c r="N63" i="40"/>
  <c r="Q12" i="40"/>
  <c r="N64" i="40"/>
  <c r="K68" i="40"/>
  <c r="K63" i="40"/>
  <c r="N14" i="40"/>
  <c r="K14" i="40"/>
  <c r="K117" i="40"/>
  <c r="Q19" i="40"/>
  <c r="W29" i="50"/>
  <c r="Q65" i="40"/>
  <c r="N78" i="40"/>
  <c r="K75" i="40"/>
  <c r="N112" i="40"/>
  <c r="K66" i="40"/>
  <c r="N65" i="40"/>
  <c r="K61" i="40"/>
  <c r="K102" i="40"/>
  <c r="N125" i="40"/>
  <c r="U40" i="50"/>
  <c r="Q16" i="40"/>
  <c r="N61" i="40"/>
  <c r="N75" i="40"/>
  <c r="N68" i="40"/>
  <c r="Q75" i="40"/>
  <c r="D113" i="40"/>
  <c r="Q15" i="40"/>
  <c r="N12" i="40"/>
  <c r="D85" i="40"/>
  <c r="D84" i="40"/>
  <c r="D86" i="40"/>
  <c r="K78" i="40"/>
  <c r="Q66" i="40"/>
  <c r="E23" i="39"/>
  <c r="D29" i="39"/>
  <c r="H29" i="39"/>
  <c r="E13" i="39"/>
  <c r="D93" i="39"/>
  <c r="E93" i="39"/>
  <c r="D30" i="39"/>
  <c r="N30" i="39"/>
  <c r="K67" i="39"/>
  <c r="K75" i="39"/>
  <c r="D24" i="39"/>
  <c r="H24" i="39"/>
  <c r="E16" i="39"/>
  <c r="K72" i="39"/>
  <c r="K117" i="39"/>
  <c r="Q72" i="39"/>
  <c r="N19" i="39"/>
  <c r="U91" i="50"/>
  <c r="Y91" i="50"/>
  <c r="K114" i="39"/>
  <c r="N75" i="39"/>
  <c r="N65" i="39"/>
  <c r="K125" i="39"/>
  <c r="S102" i="50"/>
  <c r="D86" i="39"/>
  <c r="D85" i="39"/>
  <c r="D84" i="39"/>
  <c r="Q15" i="39"/>
  <c r="N78" i="39"/>
  <c r="H125" i="39"/>
  <c r="Q102" i="50"/>
  <c r="K113" i="39"/>
  <c r="D98" i="39"/>
  <c r="D97" i="39"/>
  <c r="Q19" i="39"/>
  <c r="W91" i="50"/>
  <c r="AA91" i="50"/>
  <c r="K78" i="39"/>
  <c r="E62" i="39"/>
  <c r="K62" i="39"/>
  <c r="Q65" i="39"/>
  <c r="Q63" i="39"/>
  <c r="Q66" i="39"/>
  <c r="N14" i="39"/>
  <c r="E125" i="39"/>
  <c r="N31" i="39"/>
  <c r="D53" i="38"/>
  <c r="K53" i="38"/>
  <c r="K84" i="38"/>
  <c r="D49" i="38"/>
  <c r="K49" i="38"/>
  <c r="D54" i="38"/>
  <c r="N54" i="38"/>
  <c r="D39" i="38"/>
  <c r="H57" i="38"/>
  <c r="N85" i="38"/>
  <c r="E12" i="38"/>
  <c r="E67" i="38"/>
  <c r="D55" i="38"/>
  <c r="K55" i="38"/>
  <c r="D38" i="38"/>
  <c r="N38" i="38"/>
  <c r="N109" i="38"/>
  <c r="Q97" i="38"/>
  <c r="D51" i="38"/>
  <c r="Q51" i="38"/>
  <c r="Q84" i="38"/>
  <c r="N97" i="38"/>
  <c r="K85" i="38"/>
  <c r="D56" i="38"/>
  <c r="K56" i="38"/>
  <c r="D58" i="38"/>
  <c r="N58" i="38"/>
  <c r="N98" i="38"/>
  <c r="E124" i="38"/>
  <c r="E48" i="38"/>
  <c r="D50" i="38"/>
  <c r="N50" i="38"/>
  <c r="D52" i="38"/>
  <c r="K52" i="38"/>
  <c r="E57" i="38"/>
  <c r="K98" i="38"/>
  <c r="E24" i="37"/>
  <c r="N102" i="37"/>
  <c r="D39" i="37"/>
  <c r="Q39" i="37"/>
  <c r="K12" i="37"/>
  <c r="K16" i="37"/>
  <c r="D52" i="37"/>
  <c r="K52" i="37"/>
  <c r="N62" i="37"/>
  <c r="K67" i="37"/>
  <c r="D37" i="37"/>
  <c r="D34" i="37"/>
  <c r="D106" i="37"/>
  <c r="N61" i="37"/>
  <c r="E14" i="37"/>
  <c r="H102" i="37"/>
  <c r="K63" i="37"/>
  <c r="H36" i="37"/>
  <c r="K102" i="37"/>
  <c r="K62" i="37"/>
  <c r="H63" i="37"/>
  <c r="K36" i="37"/>
  <c r="N15" i="37"/>
  <c r="N63" i="37"/>
  <c r="E26" i="37"/>
  <c r="E36" i="37"/>
  <c r="D35" i="37"/>
  <c r="N35" i="37"/>
  <c r="N36" i="37"/>
  <c r="N14" i="37"/>
  <c r="N19" i="37"/>
  <c r="F91" i="50"/>
  <c r="H112" i="37"/>
  <c r="H69" i="37"/>
  <c r="E69" i="37"/>
  <c r="H15" i="37"/>
  <c r="E15" i="37"/>
  <c r="H61" i="37"/>
  <c r="B94" i="50"/>
  <c r="E61" i="37"/>
  <c r="K26" i="37"/>
  <c r="D56" i="37"/>
  <c r="Q56" i="37"/>
  <c r="D55" i="37"/>
  <c r="Q55" i="37"/>
  <c r="D54" i="37"/>
  <c r="Q54" i="37"/>
  <c r="D53" i="37"/>
  <c r="Q53" i="37"/>
  <c r="H13" i="37"/>
  <c r="E13" i="37"/>
  <c r="D84" i="37"/>
  <c r="Q84" i="37"/>
  <c r="D86" i="37"/>
  <c r="D85" i="37"/>
  <c r="Q85" i="37"/>
  <c r="D122" i="37"/>
  <c r="Q122" i="37"/>
  <c r="D121" i="37"/>
  <c r="Q121" i="37"/>
  <c r="D120" i="37"/>
  <c r="Q120" i="37"/>
  <c r="E119" i="37"/>
  <c r="D125" i="37"/>
  <c r="E124" i="37"/>
  <c r="D43" i="37"/>
  <c r="Q43" i="37"/>
  <c r="D42" i="37"/>
  <c r="Q42" i="37"/>
  <c r="D46" i="37"/>
  <c r="Q46" i="37"/>
  <c r="D50" i="37"/>
  <c r="D105" i="37"/>
  <c r="D45" i="37"/>
  <c r="Q45" i="37"/>
  <c r="H94" i="37"/>
  <c r="H67" i="37"/>
  <c r="N13" i="37"/>
  <c r="K14" i="37"/>
  <c r="D49" i="37"/>
  <c r="E62" i="37"/>
  <c r="D98" i="37"/>
  <c r="Q98" i="37"/>
  <c r="D97" i="37"/>
  <c r="Q97" i="37"/>
  <c r="K19" i="37"/>
  <c r="D91" i="50"/>
  <c r="D31" i="37"/>
  <c r="Q31" i="37"/>
  <c r="D30" i="37"/>
  <c r="Q30" i="37"/>
  <c r="D27" i="37"/>
  <c r="D51" i="37"/>
  <c r="D38" i="37"/>
  <c r="Q38" i="37"/>
  <c r="K13" i="37"/>
  <c r="N12" i="37"/>
  <c r="E64" i="37"/>
  <c r="H64" i="37"/>
  <c r="K63" i="33"/>
  <c r="K65" i="33"/>
  <c r="Q31" i="33"/>
  <c r="E67" i="33"/>
  <c r="D90" i="33"/>
  <c r="E90" i="33"/>
  <c r="D94" i="33"/>
  <c r="E94" i="33"/>
  <c r="N62" i="33"/>
  <c r="Q125" i="33"/>
  <c r="W82" i="50"/>
  <c r="Q69" i="33"/>
  <c r="Q67" i="33"/>
  <c r="N102" i="33"/>
  <c r="Q64" i="33"/>
  <c r="K15" i="33"/>
  <c r="N63" i="33"/>
  <c r="K72" i="33"/>
  <c r="N125" i="33"/>
  <c r="U82" i="50"/>
  <c r="K62" i="33"/>
  <c r="E62" i="33"/>
  <c r="D27" i="33"/>
  <c r="D28" i="33"/>
  <c r="N109" i="33"/>
  <c r="Q109" i="33"/>
  <c r="K109" i="33"/>
  <c r="K112" i="33"/>
  <c r="K12" i="33"/>
  <c r="H25" i="33"/>
  <c r="Q68" i="33"/>
  <c r="N68" i="33"/>
  <c r="N72" i="33"/>
  <c r="K64" i="33"/>
  <c r="Q78" i="33"/>
  <c r="Q61" i="33"/>
  <c r="K75" i="33"/>
  <c r="Q92" i="33"/>
  <c r="N92" i="33"/>
  <c r="K26" i="33"/>
  <c r="K78" i="33"/>
  <c r="Q14" i="33"/>
  <c r="K14" i="33"/>
  <c r="Q12" i="33"/>
  <c r="N75" i="33"/>
  <c r="Q117" i="33"/>
  <c r="N65" i="33"/>
  <c r="N69" i="33"/>
  <c r="K102" i="33"/>
  <c r="N15" i="33"/>
  <c r="D93" i="33"/>
  <c r="E93" i="33"/>
  <c r="E91" i="33"/>
  <c r="K66" i="33"/>
  <c r="K67" i="33"/>
  <c r="K61" i="33"/>
  <c r="E88" i="33"/>
  <c r="D89" i="33"/>
  <c r="K117" i="33"/>
  <c r="Q66" i="33"/>
  <c r="K124" i="32"/>
  <c r="D20" i="50"/>
  <c r="Q83" i="32"/>
  <c r="N29" i="32"/>
  <c r="K51" i="32"/>
  <c r="N51" i="32"/>
  <c r="E29" i="32"/>
  <c r="E56" i="32"/>
  <c r="Q56" i="32"/>
  <c r="E89" i="32"/>
  <c r="Q51" i="32"/>
  <c r="Q29" i="32"/>
  <c r="Q54" i="32"/>
  <c r="E42" i="32"/>
  <c r="N37" i="32"/>
  <c r="N54" i="32"/>
  <c r="Q53" i="32"/>
  <c r="K49" i="32"/>
  <c r="K37" i="32"/>
  <c r="N49" i="32"/>
  <c r="E83" i="32"/>
  <c r="E54" i="32"/>
  <c r="K83" i="32"/>
  <c r="Q15" i="31"/>
  <c r="Q69" i="31"/>
  <c r="H63" i="31"/>
  <c r="E83" i="31"/>
  <c r="Q16" i="31"/>
  <c r="D91" i="31"/>
  <c r="E91" i="31"/>
  <c r="E16" i="31"/>
  <c r="H102" i="31"/>
  <c r="Q68" i="31"/>
  <c r="Q102" i="31"/>
  <c r="N16" i="31"/>
  <c r="K72" i="31"/>
  <c r="K16" i="31"/>
  <c r="D84" i="31"/>
  <c r="H84" i="31"/>
  <c r="E104" i="31"/>
  <c r="D85" i="31"/>
  <c r="Q85" i="31"/>
  <c r="D34" i="31"/>
  <c r="N34" i="31"/>
  <c r="D26" i="31"/>
  <c r="K26" i="31"/>
  <c r="D30" i="31"/>
  <c r="K30" i="31"/>
  <c r="D37" i="31"/>
  <c r="E37" i="31"/>
  <c r="D25" i="31"/>
  <c r="H25" i="31"/>
  <c r="Q12" i="31"/>
  <c r="N63" i="31"/>
  <c r="N65" i="31"/>
  <c r="E86" i="31"/>
  <c r="H69" i="31"/>
  <c r="H19" i="31"/>
  <c r="B71" i="50"/>
  <c r="N105" i="31"/>
  <c r="N66" i="31"/>
  <c r="N69" i="31"/>
  <c r="Q75" i="31"/>
  <c r="N75" i="31"/>
  <c r="N62" i="31"/>
  <c r="K15" i="31"/>
  <c r="E61" i="31"/>
  <c r="D106" i="31"/>
  <c r="K106" i="31"/>
  <c r="H105" i="31"/>
  <c r="N15" i="31"/>
  <c r="K105" i="31"/>
  <c r="K12" i="31"/>
  <c r="K75" i="31"/>
  <c r="E48" i="31"/>
  <c r="N61" i="31"/>
  <c r="Q105" i="31"/>
  <c r="N117" i="31"/>
  <c r="N102" i="31"/>
  <c r="Q19" i="31"/>
  <c r="H71" i="50"/>
  <c r="K102" i="31"/>
  <c r="D79" i="50"/>
  <c r="D93" i="31"/>
  <c r="E93" i="31"/>
  <c r="H62" i="31"/>
  <c r="B74" i="50"/>
  <c r="H66" i="31"/>
  <c r="K63" i="31"/>
  <c r="E12" i="31"/>
  <c r="D98" i="31"/>
  <c r="H98" i="31"/>
  <c r="H15" i="31"/>
  <c r="Q61" i="31"/>
  <c r="N12" i="31"/>
  <c r="Q14" i="31"/>
  <c r="Q63" i="31"/>
  <c r="N19" i="31"/>
  <c r="F71" i="50"/>
  <c r="D52" i="31"/>
  <c r="K52" i="31"/>
  <c r="D113" i="31"/>
  <c r="D46" i="31"/>
  <c r="K46" i="31"/>
  <c r="E43" i="31"/>
  <c r="Q43" i="31"/>
  <c r="Q109" i="31"/>
  <c r="D89" i="31"/>
  <c r="K89" i="31"/>
  <c r="D55" i="31"/>
  <c r="K55" i="31"/>
  <c r="D49" i="31"/>
  <c r="K49" i="31"/>
  <c r="K43" i="31"/>
  <c r="H64" i="31"/>
  <c r="E64" i="31"/>
  <c r="N72" i="31"/>
  <c r="N14" i="31"/>
  <c r="K117" i="31"/>
  <c r="K65" i="31"/>
  <c r="H13" i="31"/>
  <c r="B70" i="50"/>
  <c r="E13" i="31"/>
  <c r="D39" i="31"/>
  <c r="H39" i="31"/>
  <c r="D50" i="31"/>
  <c r="H50" i="31"/>
  <c r="D27" i="31"/>
  <c r="E27" i="31"/>
  <c r="D58" i="31"/>
  <c r="H58" i="31"/>
  <c r="D31" i="31"/>
  <c r="H31" i="31"/>
  <c r="H65" i="31"/>
  <c r="Q38" i="31"/>
  <c r="K14" i="31"/>
  <c r="K61" i="31"/>
  <c r="K13" i="31"/>
  <c r="Q64" i="31"/>
  <c r="N112" i="31"/>
  <c r="D35" i="31"/>
  <c r="Q35" i="31"/>
  <c r="Q66" i="31"/>
  <c r="H14" i="31"/>
  <c r="K38" i="31"/>
  <c r="D122" i="31"/>
  <c r="D121" i="31"/>
  <c r="D120" i="31"/>
  <c r="K67" i="31"/>
  <c r="N13" i="31"/>
  <c r="K68" i="31"/>
  <c r="K66" i="31"/>
  <c r="K19" i="31"/>
  <c r="D71" i="50"/>
  <c r="Q78" i="31"/>
  <c r="E109" i="31"/>
  <c r="H117" i="31"/>
  <c r="E117" i="31"/>
  <c r="Q13" i="31"/>
  <c r="D57" i="31"/>
  <c r="K57" i="31"/>
  <c r="D114" i="31"/>
  <c r="N38" i="31"/>
  <c r="K53" i="31"/>
  <c r="E124" i="31"/>
  <c r="Q67" i="31"/>
  <c r="N78" i="31"/>
  <c r="D44" i="31"/>
  <c r="K44" i="31"/>
  <c r="D45" i="31"/>
  <c r="H45" i="31"/>
  <c r="D51" i="31"/>
  <c r="K51" i="31"/>
  <c r="E88" i="31"/>
  <c r="D36" i="31"/>
  <c r="K36" i="31"/>
  <c r="D29" i="31"/>
  <c r="E29" i="31"/>
  <c r="E94" i="31"/>
  <c r="D92" i="31"/>
  <c r="N92" i="31"/>
  <c r="D90" i="31"/>
  <c r="E90" i="31"/>
  <c r="D54" i="31"/>
  <c r="N54" i="31"/>
  <c r="H67" i="31"/>
  <c r="N43" i="31"/>
  <c r="K109" i="31"/>
  <c r="N68" i="31"/>
  <c r="Q72" i="31"/>
  <c r="K112" i="31"/>
  <c r="N64" i="31"/>
  <c r="K62" i="31"/>
  <c r="K69" i="31"/>
  <c r="K31" i="41"/>
  <c r="K26" i="41"/>
  <c r="Q31" i="41"/>
  <c r="K89" i="39"/>
  <c r="K92" i="40"/>
  <c r="Q89" i="40"/>
  <c r="Q92" i="40"/>
  <c r="N89" i="40"/>
  <c r="N92" i="40"/>
  <c r="Q98" i="41"/>
  <c r="N98" i="41"/>
  <c r="E85" i="41"/>
  <c r="K85" i="41"/>
  <c r="N85" i="41"/>
  <c r="Q92" i="42"/>
  <c r="K92" i="42"/>
  <c r="Q89" i="42"/>
  <c r="K85" i="42"/>
  <c r="N97" i="43"/>
  <c r="Q98" i="43"/>
  <c r="N98" i="43"/>
  <c r="N89" i="43"/>
  <c r="K89" i="43"/>
  <c r="K97" i="45"/>
  <c r="K98" i="45"/>
  <c r="Q97" i="45"/>
  <c r="Q98" i="45"/>
  <c r="Q89" i="45"/>
  <c r="N89" i="45"/>
  <c r="N19" i="42"/>
  <c r="F49" i="50"/>
  <c r="K12" i="42"/>
  <c r="N15" i="42"/>
  <c r="K19" i="42"/>
  <c r="D49" i="50"/>
  <c r="Q69" i="42"/>
  <c r="N62" i="42"/>
  <c r="N12" i="42"/>
  <c r="N69" i="42"/>
  <c r="Q65" i="42"/>
  <c r="Q12" i="38"/>
  <c r="Q57" i="38"/>
  <c r="N57" i="38"/>
  <c r="K30" i="32"/>
  <c r="Q30" i="32"/>
  <c r="E67" i="32"/>
  <c r="Q37" i="32"/>
  <c r="N83" i="32"/>
  <c r="E37" i="32"/>
  <c r="N30" i="32"/>
  <c r="N12" i="39"/>
  <c r="K16" i="39"/>
  <c r="K61" i="39"/>
  <c r="S94" i="50"/>
  <c r="K109" i="39"/>
  <c r="Q61" i="39"/>
  <c r="Q13" i="39"/>
  <c r="K69" i="39"/>
  <c r="Q102" i="39"/>
  <c r="N102" i="39"/>
  <c r="N92" i="39"/>
  <c r="N66" i="39"/>
  <c r="N68" i="39"/>
  <c r="Q12" i="39"/>
  <c r="N64" i="39"/>
  <c r="Q14" i="39"/>
  <c r="Q69" i="39"/>
  <c r="N112" i="39"/>
  <c r="N15" i="39"/>
  <c r="H67" i="39"/>
  <c r="K64" i="39"/>
  <c r="Q68" i="39"/>
  <c r="N89" i="39"/>
  <c r="Q31" i="39"/>
  <c r="Q67" i="39"/>
  <c r="N125" i="39"/>
  <c r="U102" i="50"/>
  <c r="Q117" i="39"/>
  <c r="Q16" i="39"/>
  <c r="D27" i="39"/>
  <c r="D25" i="39"/>
  <c r="K63" i="39"/>
  <c r="Q89" i="39"/>
  <c r="K13" i="39"/>
  <c r="S90" i="50"/>
  <c r="N16" i="39"/>
  <c r="F133" i="39"/>
  <c r="D105" i="39"/>
  <c r="D106" i="39"/>
  <c r="Q113" i="39"/>
  <c r="K112" i="39"/>
  <c r="N13" i="39"/>
  <c r="N81" i="39"/>
  <c r="U97" i="50"/>
  <c r="N81" i="38"/>
  <c r="F35" i="50"/>
  <c r="N81" i="37"/>
  <c r="F97" i="50"/>
  <c r="N67" i="39"/>
  <c r="N67" i="40"/>
  <c r="N67" i="37"/>
  <c r="Q81" i="40"/>
  <c r="W35" i="50"/>
  <c r="Q81" i="38"/>
  <c r="H35" i="50"/>
  <c r="N37" i="38"/>
  <c r="Q37" i="38"/>
  <c r="N86" i="38"/>
  <c r="Q93" i="38"/>
  <c r="Q90" i="38"/>
  <c r="Q90" i="39"/>
  <c r="Q27" i="39"/>
  <c r="N24" i="37"/>
  <c r="N29" i="37"/>
  <c r="Q62" i="38"/>
  <c r="Q62" i="40"/>
  <c r="Q86" i="38"/>
  <c r="Q86" i="39"/>
  <c r="N94" i="38"/>
  <c r="Q109" i="39"/>
  <c r="Q112" i="40"/>
  <c r="Q29" i="39"/>
  <c r="Q94" i="38"/>
  <c r="N91" i="38"/>
  <c r="N91" i="37"/>
  <c r="N91" i="39"/>
  <c r="N93" i="37"/>
  <c r="N93" i="38"/>
  <c r="N25" i="37"/>
  <c r="N90" i="37"/>
  <c r="N90" i="40"/>
  <c r="N90" i="39"/>
  <c r="K86" i="38"/>
  <c r="K94" i="38"/>
  <c r="K94" i="37"/>
  <c r="K90" i="39"/>
  <c r="K90" i="37"/>
  <c r="K90" i="40"/>
  <c r="K29" i="39"/>
  <c r="K29" i="37"/>
  <c r="K39" i="37"/>
  <c r="K25" i="37"/>
  <c r="K93" i="38"/>
  <c r="K81" i="39"/>
  <c r="S97" i="50"/>
  <c r="K81" i="40"/>
  <c r="S35" i="50"/>
  <c r="K81" i="37"/>
  <c r="D97" i="50"/>
  <c r="K24" i="37"/>
  <c r="K28" i="37"/>
  <c r="K91" i="38"/>
  <c r="K91" i="37"/>
  <c r="K37" i="38"/>
  <c r="J93" i="31"/>
  <c r="J93" i="34"/>
  <c r="J92" i="32"/>
  <c r="K92" i="32"/>
  <c r="J93" i="32"/>
  <c r="K93" i="32"/>
  <c r="J94" i="31"/>
  <c r="K94" i="31"/>
  <c r="J94" i="34"/>
  <c r="J37" i="34"/>
  <c r="J36" i="32"/>
  <c r="K36" i="32"/>
  <c r="J37" i="31"/>
  <c r="J24" i="34"/>
  <c r="K24" i="34"/>
  <c r="K24" i="33"/>
  <c r="J23" i="32"/>
  <c r="K23" i="32"/>
  <c r="J24" i="31"/>
  <c r="J28" i="31"/>
  <c r="K28" i="31"/>
  <c r="J28" i="34"/>
  <c r="K28" i="34"/>
  <c r="J27" i="32"/>
  <c r="K27" i="32"/>
  <c r="J86" i="31"/>
  <c r="K86" i="31"/>
  <c r="J86" i="34"/>
  <c r="J85" i="32"/>
  <c r="K85" i="32"/>
  <c r="J25" i="31"/>
  <c r="J25" i="34"/>
  <c r="K25" i="34"/>
  <c r="K25" i="33"/>
  <c r="J24" i="32"/>
  <c r="K24" i="32"/>
  <c r="J38" i="32"/>
  <c r="K38" i="32"/>
  <c r="J39" i="34"/>
  <c r="J39" i="31"/>
  <c r="J27" i="34"/>
  <c r="K27" i="34"/>
  <c r="J26" i="32"/>
  <c r="K26" i="32"/>
  <c r="J27" i="31"/>
  <c r="J90" i="31"/>
  <c r="J89" i="32"/>
  <c r="K89" i="32"/>
  <c r="J90" i="34"/>
  <c r="J90" i="32"/>
  <c r="K90" i="32"/>
  <c r="J91" i="31"/>
  <c r="J91" i="34"/>
  <c r="K91" i="34"/>
  <c r="K91" i="33"/>
  <c r="J28" i="32"/>
  <c r="K28" i="32"/>
  <c r="J29" i="31"/>
  <c r="J29" i="34"/>
  <c r="K29" i="34"/>
  <c r="K29" i="33"/>
  <c r="J81" i="31"/>
  <c r="K81" i="31"/>
  <c r="D77" i="50"/>
  <c r="J81" i="34"/>
  <c r="K81" i="34"/>
  <c r="S15" i="50"/>
  <c r="K81" i="33"/>
  <c r="S77" i="50"/>
  <c r="J80" i="32"/>
  <c r="K80" i="32"/>
  <c r="D15" i="50"/>
  <c r="P28" i="31"/>
  <c r="Q28" i="31"/>
  <c r="P27" i="32"/>
  <c r="Q27" i="32"/>
  <c r="P28" i="34"/>
  <c r="Q28" i="34"/>
  <c r="P28" i="33"/>
  <c r="M90" i="34"/>
  <c r="M89" i="32"/>
  <c r="N89" i="32"/>
  <c r="M90" i="31"/>
  <c r="M90" i="33"/>
  <c r="N90" i="33"/>
  <c r="M94" i="34"/>
  <c r="M94" i="31"/>
  <c r="N94" i="31"/>
  <c r="M94" i="33"/>
  <c r="M93" i="32"/>
  <c r="N93" i="32"/>
  <c r="P24" i="34"/>
  <c r="Q24" i="34"/>
  <c r="P24" i="31"/>
  <c r="P23" i="32"/>
  <c r="Q23" i="32"/>
  <c r="P24" i="33"/>
  <c r="Q24" i="33"/>
  <c r="P36" i="32"/>
  <c r="Q36" i="32"/>
  <c r="P37" i="31"/>
  <c r="P37" i="33"/>
  <c r="P37" i="34"/>
  <c r="P62" i="33"/>
  <c r="Q62" i="33"/>
  <c r="P61" i="32"/>
  <c r="Q61" i="32"/>
  <c r="P62" i="31"/>
  <c r="Q62" i="31"/>
  <c r="P62" i="34"/>
  <c r="Q62" i="34"/>
  <c r="M81" i="31"/>
  <c r="N81" i="31"/>
  <c r="F77" i="50"/>
  <c r="M81" i="33"/>
  <c r="N81" i="33"/>
  <c r="U77" i="50"/>
  <c r="M80" i="32"/>
  <c r="N80" i="32"/>
  <c r="F15" i="50"/>
  <c r="M81" i="34"/>
  <c r="N81" i="34"/>
  <c r="U15" i="50"/>
  <c r="P81" i="34"/>
  <c r="Q81" i="34"/>
  <c r="W15" i="50"/>
  <c r="P81" i="31"/>
  <c r="Q81" i="31"/>
  <c r="H77" i="50"/>
  <c r="P81" i="33"/>
  <c r="Q81" i="33"/>
  <c r="W77" i="50"/>
  <c r="P80" i="32"/>
  <c r="Q80" i="32"/>
  <c r="H15" i="50"/>
  <c r="P93" i="34"/>
  <c r="P93" i="31"/>
  <c r="P93" i="33"/>
  <c r="P92" i="32"/>
  <c r="Q92" i="32"/>
  <c r="P85" i="32"/>
  <c r="Q85" i="32"/>
  <c r="P86" i="31"/>
  <c r="Q86" i="31"/>
  <c r="P86" i="34"/>
  <c r="P86" i="33"/>
  <c r="M28" i="32"/>
  <c r="N28" i="32"/>
  <c r="M29" i="34"/>
  <c r="N29" i="34"/>
  <c r="M29" i="31"/>
  <c r="M29" i="33"/>
  <c r="N29" i="33"/>
  <c r="P29" i="33"/>
  <c r="Q29" i="33"/>
  <c r="P29" i="34"/>
  <c r="Q29" i="34"/>
  <c r="P29" i="31"/>
  <c r="P28" i="32"/>
  <c r="Q28" i="32"/>
  <c r="P39" i="33"/>
  <c r="P39" i="34"/>
  <c r="P39" i="31"/>
  <c r="P38" i="32"/>
  <c r="Q38" i="32"/>
  <c r="M91" i="33"/>
  <c r="N91" i="33"/>
  <c r="M91" i="34"/>
  <c r="N91" i="34"/>
  <c r="M91" i="31"/>
  <c r="M90" i="32"/>
  <c r="N90" i="32"/>
  <c r="P93" i="32"/>
  <c r="Q93" i="32"/>
  <c r="P94" i="34"/>
  <c r="P94" i="31"/>
  <c r="Q94" i="31"/>
  <c r="P94" i="33"/>
  <c r="M27" i="32"/>
  <c r="N27" i="32"/>
  <c r="M28" i="31"/>
  <c r="N28" i="31"/>
  <c r="M28" i="34"/>
  <c r="N28" i="34"/>
  <c r="M28" i="33"/>
  <c r="M67" i="34"/>
  <c r="N67" i="34"/>
  <c r="M67" i="33"/>
  <c r="N67" i="33"/>
  <c r="M66" i="32"/>
  <c r="N66" i="32"/>
  <c r="F12" i="50"/>
  <c r="M67" i="31"/>
  <c r="N67" i="31"/>
  <c r="P25" i="34"/>
  <c r="Q25" i="34"/>
  <c r="P25" i="31"/>
  <c r="P25" i="33"/>
  <c r="Q25" i="33"/>
  <c r="P24" i="32"/>
  <c r="Q24" i="32"/>
  <c r="P90" i="33"/>
  <c r="Q90" i="33"/>
  <c r="P89" i="32"/>
  <c r="Q89" i="32"/>
  <c r="P90" i="31"/>
  <c r="P90" i="34"/>
  <c r="M27" i="34"/>
  <c r="N27" i="34"/>
  <c r="M27" i="31"/>
  <c r="M27" i="33"/>
  <c r="M26" i="32"/>
  <c r="N26" i="32"/>
  <c r="M85" i="32"/>
  <c r="N85" i="32"/>
  <c r="M86" i="31"/>
  <c r="N86" i="31"/>
  <c r="M86" i="34"/>
  <c r="M86" i="33"/>
  <c r="P91" i="33"/>
  <c r="Q91" i="33"/>
  <c r="P90" i="32"/>
  <c r="Q90" i="32"/>
  <c r="P91" i="34"/>
  <c r="Q91" i="34"/>
  <c r="P91" i="31"/>
  <c r="M93" i="31"/>
  <c r="M93" i="33"/>
  <c r="M92" i="32"/>
  <c r="N92" i="32"/>
  <c r="M93" i="34"/>
  <c r="M25" i="31"/>
  <c r="M25" i="33"/>
  <c r="N25" i="33"/>
  <c r="M24" i="32"/>
  <c r="N24" i="32"/>
  <c r="M25" i="34"/>
  <c r="N25" i="34"/>
  <c r="M49" i="34"/>
  <c r="M49" i="31"/>
  <c r="M49" i="33"/>
  <c r="M48" i="32"/>
  <c r="N48" i="32"/>
  <c r="M38" i="32"/>
  <c r="N38" i="32"/>
  <c r="M39" i="34"/>
  <c r="M39" i="31"/>
  <c r="M39" i="33"/>
  <c r="M24" i="31"/>
  <c r="M24" i="33"/>
  <c r="N24" i="33"/>
  <c r="M23" i="32"/>
  <c r="N23" i="32"/>
  <c r="M24" i="34"/>
  <c r="N24" i="34"/>
  <c r="P26" i="32"/>
  <c r="Q26" i="32"/>
  <c r="P27" i="33"/>
  <c r="P27" i="34"/>
  <c r="Q27" i="34"/>
  <c r="P27" i="31"/>
  <c r="M37" i="34"/>
  <c r="M37" i="33"/>
  <c r="M36" i="32"/>
  <c r="N36" i="32"/>
  <c r="M37" i="31"/>
  <c r="P112" i="34"/>
  <c r="Q112" i="34"/>
  <c r="P112" i="31"/>
  <c r="Q112" i="31"/>
  <c r="P111" i="32"/>
  <c r="Q111" i="32"/>
  <c r="P112" i="33"/>
  <c r="Q112" i="33"/>
  <c r="N96" i="32"/>
  <c r="K96" i="32"/>
  <c r="Q104" i="32"/>
  <c r="H17" i="50"/>
  <c r="N104" i="32"/>
  <c r="F17" i="50"/>
  <c r="K104" i="32"/>
  <c r="D17" i="50"/>
  <c r="Q33" i="32"/>
  <c r="K44" i="32"/>
  <c r="Q96" i="32"/>
  <c r="E93" i="32"/>
  <c r="F131" i="32"/>
  <c r="Q43" i="32"/>
  <c r="K91" i="32"/>
  <c r="Q97" i="32"/>
  <c r="Q52" i="32"/>
  <c r="N50" i="32"/>
  <c r="E57" i="32"/>
  <c r="N57" i="32"/>
  <c r="Q91" i="32"/>
  <c r="K43" i="32"/>
  <c r="K97" i="32"/>
  <c r="H53" i="32"/>
  <c r="N53" i="32"/>
  <c r="E53" i="32"/>
  <c r="H42" i="32"/>
  <c r="N42" i="32"/>
  <c r="K52" i="32"/>
  <c r="K33" i="32"/>
  <c r="H25" i="32"/>
  <c r="K25" i="32"/>
  <c r="H24" i="32"/>
  <c r="N25" i="32"/>
  <c r="Q35" i="32"/>
  <c r="K67" i="32"/>
  <c r="D12" i="50"/>
  <c r="Q41" i="32"/>
  <c r="N41" i="32"/>
  <c r="K41" i="32"/>
  <c r="D120" i="32"/>
  <c r="D119" i="32"/>
  <c r="D121" i="32"/>
  <c r="E23" i="32"/>
  <c r="N35" i="32"/>
  <c r="Q55" i="32"/>
  <c r="Q57" i="32"/>
  <c r="K50" i="32"/>
  <c r="K57" i="32"/>
  <c r="N44" i="32"/>
  <c r="H67" i="32"/>
  <c r="B12" i="50"/>
  <c r="N55" i="32"/>
  <c r="K42" i="32"/>
  <c r="Q67" i="32"/>
  <c r="E42" i="31"/>
  <c r="H42" i="31"/>
  <c r="N42" i="31"/>
  <c r="E56" i="31"/>
  <c r="Q56" i="31"/>
  <c r="N56" i="31"/>
  <c r="H56" i="31"/>
  <c r="Q42" i="31"/>
  <c r="E28" i="31"/>
  <c r="H28" i="31"/>
  <c r="K56" i="31"/>
  <c r="H13" i="38"/>
  <c r="K13" i="38"/>
  <c r="Q92" i="38"/>
  <c r="N62" i="38"/>
  <c r="N13" i="38"/>
  <c r="E89" i="38"/>
  <c r="Q89" i="38"/>
  <c r="Q14" i="38"/>
  <c r="K14" i="38"/>
  <c r="H61" i="38"/>
  <c r="Q61" i="38"/>
  <c r="E61" i="38"/>
  <c r="H69" i="38"/>
  <c r="E69" i="38"/>
  <c r="Q69" i="38"/>
  <c r="E91" i="38"/>
  <c r="N61" i="38"/>
  <c r="H15" i="38"/>
  <c r="Q15" i="38"/>
  <c r="Q117" i="38"/>
  <c r="K117" i="38"/>
  <c r="H12" i="38"/>
  <c r="K12" i="38"/>
  <c r="H64" i="38"/>
  <c r="N64" i="38"/>
  <c r="K64" i="38"/>
  <c r="N89" i="38"/>
  <c r="K69" i="38"/>
  <c r="K62" i="38"/>
  <c r="N63" i="38"/>
  <c r="Q63" i="38"/>
  <c r="E66" i="38"/>
  <c r="H66" i="38"/>
  <c r="K66" i="38"/>
  <c r="H112" i="38"/>
  <c r="N112" i="38"/>
  <c r="K63" i="38"/>
  <c r="N65" i="38"/>
  <c r="K92" i="38"/>
  <c r="Q66" i="38"/>
  <c r="N102" i="38"/>
  <c r="K89" i="38"/>
  <c r="N19" i="38"/>
  <c r="F29" i="50"/>
  <c r="Q19" i="38"/>
  <c r="H29" i="50"/>
  <c r="E94" i="38"/>
  <c r="D113" i="38"/>
  <c r="D114" i="38"/>
  <c r="H67" i="38"/>
  <c r="K67" i="38"/>
  <c r="K112" i="38"/>
  <c r="Q65" i="38"/>
  <c r="N117" i="38"/>
  <c r="N15" i="38"/>
  <c r="N120" i="38"/>
  <c r="K102" i="38"/>
  <c r="Q68" i="38"/>
  <c r="K68" i="38"/>
  <c r="N16" i="38"/>
  <c r="Q16" i="38"/>
  <c r="E112" i="38"/>
  <c r="E90" i="38"/>
  <c r="H125" i="38"/>
  <c r="B40" i="50"/>
  <c r="N125" i="38"/>
  <c r="F40" i="50"/>
  <c r="K125" i="38"/>
  <c r="D40" i="50"/>
  <c r="Q64" i="38"/>
  <c r="Q13" i="38"/>
  <c r="K15" i="38"/>
  <c r="K120" i="38"/>
  <c r="K121" i="38"/>
  <c r="E91" i="37"/>
  <c r="E25" i="37"/>
  <c r="H25" i="37"/>
  <c r="K44" i="37"/>
  <c r="K92" i="37"/>
  <c r="H57" i="37"/>
  <c r="K57" i="37"/>
  <c r="N26" i="37"/>
  <c r="E93" i="37"/>
  <c r="N58" i="37"/>
  <c r="N109" i="37"/>
  <c r="H52" i="37"/>
  <c r="H37" i="37"/>
  <c r="N44" i="37"/>
  <c r="E89" i="37"/>
  <c r="K89" i="37"/>
  <c r="N92" i="37"/>
  <c r="N52" i="37"/>
  <c r="K15" i="42"/>
  <c r="K61" i="42"/>
  <c r="K117" i="42"/>
  <c r="N85" i="42"/>
  <c r="F54" i="50"/>
  <c r="Q67" i="42"/>
  <c r="N89" i="42"/>
  <c r="K89" i="42"/>
  <c r="E86" i="42"/>
  <c r="H86" i="42"/>
  <c r="B54" i="50"/>
  <c r="Q66" i="42"/>
  <c r="N112" i="42"/>
  <c r="Q16" i="42"/>
  <c r="K97" i="42"/>
  <c r="N97" i="42"/>
  <c r="N102" i="42"/>
  <c r="K66" i="42"/>
  <c r="K63" i="42"/>
  <c r="K64" i="42"/>
  <c r="Q102" i="42"/>
  <c r="K65" i="42"/>
  <c r="Q117" i="42"/>
  <c r="N98" i="42"/>
  <c r="K16" i="42"/>
  <c r="Q125" i="42"/>
  <c r="H60" i="50"/>
  <c r="Q98" i="42"/>
  <c r="N92" i="42"/>
  <c r="Q46" i="41"/>
  <c r="K38" i="41"/>
  <c r="Q85" i="41"/>
  <c r="K51" i="41"/>
  <c r="Q38" i="41"/>
  <c r="N51" i="41"/>
  <c r="K34" i="41"/>
  <c r="Q51" i="41"/>
  <c r="Q26" i="41"/>
  <c r="K46" i="41"/>
  <c r="N34" i="41"/>
  <c r="K91" i="45"/>
  <c r="K39" i="45"/>
  <c r="K39" i="43"/>
  <c r="K90" i="42"/>
  <c r="K90" i="41"/>
  <c r="K81" i="45"/>
  <c r="S55" i="50"/>
  <c r="K81" i="43"/>
  <c r="S117" i="50"/>
  <c r="K81" i="41"/>
  <c r="D117" i="50"/>
  <c r="K94" i="42"/>
  <c r="K86" i="42"/>
  <c r="K28" i="41"/>
  <c r="K28" i="43"/>
  <c r="K93" i="45"/>
  <c r="K93" i="42"/>
  <c r="K93" i="41"/>
  <c r="N37" i="45"/>
  <c r="N93" i="42"/>
  <c r="Q93" i="42"/>
  <c r="Q93" i="41"/>
  <c r="Q93" i="45"/>
  <c r="Q112" i="42"/>
  <c r="Q112" i="43"/>
  <c r="Q25" i="41"/>
  <c r="Q29" i="45"/>
  <c r="Q39" i="43"/>
  <c r="Q39" i="45"/>
  <c r="Q81" i="45"/>
  <c r="W55" i="50"/>
  <c r="Q94" i="42"/>
  <c r="Q94" i="43"/>
  <c r="N67" i="43"/>
  <c r="N28" i="41"/>
  <c r="N28" i="45"/>
  <c r="N28" i="43"/>
  <c r="N91" i="42"/>
  <c r="Q62" i="45"/>
  <c r="Q62" i="42"/>
  <c r="Q62" i="41"/>
  <c r="N27" i="43"/>
  <c r="N90" i="42"/>
  <c r="N90" i="45"/>
  <c r="Q90" i="45"/>
  <c r="Q90" i="42"/>
  <c r="N94" i="42"/>
  <c r="Q37" i="45"/>
  <c r="Q28" i="43"/>
  <c r="Q28" i="41"/>
  <c r="N86" i="42"/>
  <c r="N25" i="41"/>
  <c r="N29" i="45"/>
  <c r="N39" i="43"/>
  <c r="N39" i="45"/>
  <c r="N81" i="45"/>
  <c r="U55" i="50"/>
  <c r="N81" i="42"/>
  <c r="F55" i="50"/>
  <c r="N81" i="41"/>
  <c r="F117" i="50"/>
  <c r="Q91" i="42"/>
  <c r="Q117" i="34"/>
  <c r="Q30" i="34"/>
  <c r="K26" i="34"/>
  <c r="N30" i="34"/>
  <c r="D93" i="34"/>
  <c r="K67" i="34"/>
  <c r="N63" i="34"/>
  <c r="N64" i="34"/>
  <c r="K63" i="34"/>
  <c r="K64" i="34"/>
  <c r="H25" i="34"/>
  <c r="Q72" i="34"/>
  <c r="N78" i="34"/>
  <c r="N66" i="34"/>
  <c r="Q66" i="34"/>
  <c r="N72" i="34"/>
  <c r="N61" i="34"/>
  <c r="K61" i="34"/>
  <c r="D89" i="34"/>
  <c r="H89" i="34"/>
  <c r="D90" i="34"/>
  <c r="D94" i="34"/>
  <c r="K114" i="34"/>
  <c r="N106" i="34"/>
  <c r="N112" i="34"/>
  <c r="N114" i="34"/>
  <c r="K112" i="34"/>
  <c r="Q65" i="34"/>
  <c r="N65" i="34"/>
  <c r="N69" i="34"/>
  <c r="K69" i="34"/>
  <c r="N102" i="34"/>
  <c r="K102" i="34"/>
  <c r="E91" i="34"/>
  <c r="H106" i="34"/>
  <c r="Q106" i="34"/>
  <c r="N12" i="34"/>
  <c r="N113" i="34"/>
  <c r="Q12" i="34"/>
  <c r="W8" i="50"/>
  <c r="Q113" i="34"/>
  <c r="K15" i="34"/>
  <c r="N15" i="34"/>
  <c r="D92" i="34"/>
  <c r="Q109" i="34"/>
  <c r="N109" i="34"/>
  <c r="N31" i="34"/>
  <c r="K14" i="34"/>
  <c r="K117" i="34"/>
  <c r="N26" i="34"/>
  <c r="K31" i="34"/>
  <c r="E106" i="34"/>
  <c r="H67" i="34"/>
  <c r="E97" i="45"/>
  <c r="H97" i="45"/>
  <c r="E98" i="45"/>
  <c r="H98" i="45"/>
  <c r="H109" i="45"/>
  <c r="E109" i="45"/>
  <c r="E124" i="45"/>
  <c r="H45" i="45"/>
  <c r="E45" i="45"/>
  <c r="H65" i="45"/>
  <c r="E65" i="45"/>
  <c r="H39" i="45"/>
  <c r="E39" i="45"/>
  <c r="H117" i="45"/>
  <c r="E117" i="45"/>
  <c r="H52" i="45"/>
  <c r="E52" i="45"/>
  <c r="E114" i="45"/>
  <c r="H114" i="45"/>
  <c r="E60" i="45"/>
  <c r="E62" i="45"/>
  <c r="H62" i="45"/>
  <c r="H89" i="45"/>
  <c r="H112" i="45"/>
  <c r="E112" i="45"/>
  <c r="E51" i="45"/>
  <c r="H51" i="45"/>
  <c r="E102" i="45"/>
  <c r="H102" i="45"/>
  <c r="H49" i="45"/>
  <c r="E49" i="45"/>
  <c r="H92" i="45"/>
  <c r="H67" i="45"/>
  <c r="E67" i="45"/>
  <c r="H58" i="45"/>
  <c r="E58" i="45"/>
  <c r="H46" i="45"/>
  <c r="E46" i="45"/>
  <c r="H90" i="45"/>
  <c r="E34" i="45"/>
  <c r="H34" i="45"/>
  <c r="H120" i="45"/>
  <c r="E120" i="45"/>
  <c r="H93" i="45"/>
  <c r="E42" i="45"/>
  <c r="E28" i="45"/>
  <c r="H28" i="45"/>
  <c r="H56" i="45"/>
  <c r="E56" i="45"/>
  <c r="H53" i="45"/>
  <c r="E53" i="45"/>
  <c r="E98" i="43"/>
  <c r="H98" i="43"/>
  <c r="E62" i="43"/>
  <c r="H62" i="43"/>
  <c r="Q114" i="50"/>
  <c r="H65" i="43"/>
  <c r="E65" i="43"/>
  <c r="E60" i="43"/>
  <c r="E51" i="43"/>
  <c r="H51" i="43"/>
  <c r="E102" i="43"/>
  <c r="H102" i="43"/>
  <c r="H112" i="43"/>
  <c r="E112" i="43"/>
  <c r="H67" i="43"/>
  <c r="E67" i="43"/>
  <c r="H94" i="43"/>
  <c r="H58" i="43"/>
  <c r="E58" i="43"/>
  <c r="D121" i="43"/>
  <c r="D120" i="43"/>
  <c r="D122" i="43"/>
  <c r="E119" i="43"/>
  <c r="E28" i="43"/>
  <c r="H28" i="43"/>
  <c r="H68" i="43"/>
  <c r="E68" i="43"/>
  <c r="E57" i="43"/>
  <c r="H109" i="43"/>
  <c r="E109" i="43"/>
  <c r="E124" i="43"/>
  <c r="E45" i="43"/>
  <c r="E113" i="43"/>
  <c r="H39" i="43"/>
  <c r="E39" i="43"/>
  <c r="E97" i="42"/>
  <c r="H97" i="42"/>
  <c r="E98" i="42"/>
  <c r="H98" i="42"/>
  <c r="D53" i="42"/>
  <c r="D58" i="42"/>
  <c r="D50" i="42"/>
  <c r="D55" i="42"/>
  <c r="D52" i="42"/>
  <c r="D57" i="42"/>
  <c r="D49" i="42"/>
  <c r="D54" i="42"/>
  <c r="D51" i="42"/>
  <c r="D56" i="42"/>
  <c r="E48" i="42"/>
  <c r="D36" i="42"/>
  <c r="D38" i="42"/>
  <c r="D35" i="42"/>
  <c r="D37" i="42"/>
  <c r="D34" i="42"/>
  <c r="D39" i="42"/>
  <c r="H12" i="42"/>
  <c r="E12" i="42"/>
  <c r="D42" i="42"/>
  <c r="D44" i="42"/>
  <c r="D46" i="42"/>
  <c r="D43" i="42"/>
  <c r="D45" i="42"/>
  <c r="D30" i="42"/>
  <c r="D27" i="42"/>
  <c r="D29" i="42"/>
  <c r="D24" i="42"/>
  <c r="D26" i="42"/>
  <c r="D31" i="42"/>
  <c r="E23" i="42"/>
  <c r="D28" i="42"/>
  <c r="D25" i="42"/>
  <c r="H93" i="42"/>
  <c r="E15" i="42"/>
  <c r="H15" i="42"/>
  <c r="D120" i="42"/>
  <c r="D122" i="42"/>
  <c r="E119" i="42"/>
  <c r="D121" i="42"/>
  <c r="H65" i="42"/>
  <c r="E65" i="42"/>
  <c r="H19" i="42"/>
  <c r="B49" i="50"/>
  <c r="E19" i="42"/>
  <c r="F132" i="42"/>
  <c r="H125" i="42"/>
  <c r="B60" i="50"/>
  <c r="E125" i="42"/>
  <c r="D113" i="42"/>
  <c r="E111" i="42"/>
  <c r="D114" i="42"/>
  <c r="E60" i="42"/>
  <c r="H16" i="42"/>
  <c r="E16" i="42"/>
  <c r="E117" i="42"/>
  <c r="H117" i="42"/>
  <c r="E104" i="42"/>
  <c r="D106" i="42"/>
  <c r="D105" i="42"/>
  <c r="H112" i="42"/>
  <c r="E112" i="42"/>
  <c r="H94" i="42"/>
  <c r="H66" i="42"/>
  <c r="E66" i="42"/>
  <c r="E124" i="42"/>
  <c r="H89" i="42"/>
  <c r="H102" i="42"/>
  <c r="E102" i="42"/>
  <c r="H92" i="42"/>
  <c r="E69" i="42"/>
  <c r="H69" i="42"/>
  <c r="E21" i="42"/>
  <c r="H63" i="42"/>
  <c r="E63" i="42"/>
  <c r="H62" i="42"/>
  <c r="E62" i="42"/>
  <c r="H67" i="42"/>
  <c r="E67" i="42"/>
  <c r="H90" i="42"/>
  <c r="H64" i="42"/>
  <c r="E64" i="42"/>
  <c r="E61" i="42"/>
  <c r="H61" i="42"/>
  <c r="E18" i="42"/>
  <c r="H13" i="42"/>
  <c r="E13" i="42"/>
  <c r="E98" i="41"/>
  <c r="H98" i="41"/>
  <c r="H24" i="41"/>
  <c r="H31" i="41"/>
  <c r="E31" i="41"/>
  <c r="H28" i="41"/>
  <c r="E28" i="41"/>
  <c r="F133" i="41"/>
  <c r="E44" i="41"/>
  <c r="H26" i="41"/>
  <c r="E26" i="41"/>
  <c r="E27" i="41"/>
  <c r="H93" i="41"/>
  <c r="H38" i="41"/>
  <c r="E38" i="41"/>
  <c r="H25" i="41"/>
  <c r="E25" i="41"/>
  <c r="H90" i="41"/>
  <c r="H92" i="40"/>
  <c r="E66" i="40"/>
  <c r="H66" i="40"/>
  <c r="H89" i="40"/>
  <c r="D44" i="40"/>
  <c r="D46" i="40"/>
  <c r="D43" i="40"/>
  <c r="D45" i="40"/>
  <c r="D42" i="40"/>
  <c r="E117" i="40"/>
  <c r="H65" i="40"/>
  <c r="E65" i="40"/>
  <c r="H62" i="40"/>
  <c r="E62" i="40"/>
  <c r="H93" i="40"/>
  <c r="H72" i="40"/>
  <c r="H91" i="40"/>
  <c r="E60" i="40"/>
  <c r="D121" i="40"/>
  <c r="D120" i="40"/>
  <c r="D122" i="40"/>
  <c r="E119" i="40"/>
  <c r="H61" i="40"/>
  <c r="E61" i="40"/>
  <c r="E18" i="40"/>
  <c r="F133" i="40"/>
  <c r="H19" i="40"/>
  <c r="Q29" i="50"/>
  <c r="E19" i="40"/>
  <c r="H90" i="40"/>
  <c r="E21" i="40"/>
  <c r="H14" i="40"/>
  <c r="E14" i="40"/>
  <c r="E112" i="40"/>
  <c r="D38" i="40"/>
  <c r="D35" i="40"/>
  <c r="D37" i="40"/>
  <c r="D34" i="40"/>
  <c r="D39" i="40"/>
  <c r="D36" i="40"/>
  <c r="E12" i="40"/>
  <c r="H12" i="40"/>
  <c r="D105" i="40"/>
  <c r="E104" i="40"/>
  <c r="D106" i="40"/>
  <c r="H16" i="40"/>
  <c r="E16" i="40"/>
  <c r="H64" i="40"/>
  <c r="E64" i="40"/>
  <c r="H15" i="40"/>
  <c r="E15" i="40"/>
  <c r="D58" i="40"/>
  <c r="D50" i="40"/>
  <c r="D55" i="40"/>
  <c r="D52" i="40"/>
  <c r="D57" i="40"/>
  <c r="D49" i="40"/>
  <c r="D54" i="40"/>
  <c r="D51" i="40"/>
  <c r="D56" i="40"/>
  <c r="E48" i="40"/>
  <c r="D53" i="40"/>
  <c r="H69" i="40"/>
  <c r="E69" i="40"/>
  <c r="D27" i="40"/>
  <c r="D24" i="40"/>
  <c r="D29" i="40"/>
  <c r="D26" i="40"/>
  <c r="D31" i="40"/>
  <c r="E23" i="40"/>
  <c r="D28" i="40"/>
  <c r="D25" i="40"/>
  <c r="D30" i="40"/>
  <c r="H81" i="40"/>
  <c r="Q35" i="50"/>
  <c r="H63" i="40"/>
  <c r="E63" i="40"/>
  <c r="H68" i="40"/>
  <c r="E68" i="40"/>
  <c r="H125" i="40"/>
  <c r="Q40" i="50"/>
  <c r="E125" i="40"/>
  <c r="H78" i="40"/>
  <c r="E124" i="40"/>
  <c r="E102" i="40"/>
  <c r="H102" i="40"/>
  <c r="E114" i="40"/>
  <c r="D121" i="39"/>
  <c r="D120" i="39"/>
  <c r="D122" i="39"/>
  <c r="E119" i="39"/>
  <c r="H61" i="39"/>
  <c r="E61" i="39"/>
  <c r="E21" i="39"/>
  <c r="D58" i="39"/>
  <c r="D50" i="39"/>
  <c r="E48" i="39"/>
  <c r="D55" i="39"/>
  <c r="D52" i="39"/>
  <c r="D57" i="39"/>
  <c r="D56" i="39"/>
  <c r="D53" i="39"/>
  <c r="D49" i="39"/>
  <c r="D54" i="39"/>
  <c r="D51" i="39"/>
  <c r="E112" i="39"/>
  <c r="D37" i="39"/>
  <c r="D38" i="39"/>
  <c r="D34" i="39"/>
  <c r="D35" i="39"/>
  <c r="D39" i="39"/>
  <c r="D36" i="39"/>
  <c r="E18" i="39"/>
  <c r="H94" i="39"/>
  <c r="H15" i="39"/>
  <c r="E15" i="39"/>
  <c r="E12" i="39"/>
  <c r="H12" i="39"/>
  <c r="H68" i="39"/>
  <c r="E68" i="39"/>
  <c r="E30" i="39"/>
  <c r="H30" i="39"/>
  <c r="H75" i="39"/>
  <c r="E66" i="39"/>
  <c r="H66" i="39"/>
  <c r="H91" i="39"/>
  <c r="H89" i="39"/>
  <c r="D46" i="39"/>
  <c r="D44" i="39"/>
  <c r="D45" i="39"/>
  <c r="D42" i="39"/>
  <c r="D43" i="39"/>
  <c r="H117" i="39"/>
  <c r="E117" i="39"/>
  <c r="E114" i="39"/>
  <c r="E124" i="39"/>
  <c r="H63" i="39"/>
  <c r="E63" i="39"/>
  <c r="E109" i="39"/>
  <c r="H78" i="39"/>
  <c r="H92" i="39"/>
  <c r="E102" i="39"/>
  <c r="H102" i="39"/>
  <c r="H14" i="39"/>
  <c r="E14" i="39"/>
  <c r="E113" i="39"/>
  <c r="H72" i="39"/>
  <c r="E31" i="39"/>
  <c r="H31" i="39"/>
  <c r="H69" i="39"/>
  <c r="E69" i="39"/>
  <c r="E65" i="39"/>
  <c r="H65" i="39"/>
  <c r="E60" i="39"/>
  <c r="H64" i="39"/>
  <c r="E64" i="39"/>
  <c r="H92" i="38"/>
  <c r="E92" i="38"/>
  <c r="H62" i="38"/>
  <c r="E62" i="38"/>
  <c r="H98" i="38"/>
  <c r="E117" i="38"/>
  <c r="H117" i="38"/>
  <c r="H90" i="38"/>
  <c r="F132" i="38"/>
  <c r="H93" i="38"/>
  <c r="H63" i="38"/>
  <c r="E63" i="38"/>
  <c r="H68" i="38"/>
  <c r="E68" i="38"/>
  <c r="E65" i="38"/>
  <c r="H65" i="38"/>
  <c r="H102" i="38"/>
  <c r="E102" i="38"/>
  <c r="H49" i="38"/>
  <c r="H91" i="38"/>
  <c r="E60" i="38"/>
  <c r="E104" i="38"/>
  <c r="D106" i="38"/>
  <c r="D105" i="38"/>
  <c r="D26" i="38"/>
  <c r="D31" i="38"/>
  <c r="E23" i="38"/>
  <c r="D28" i="38"/>
  <c r="D25" i="38"/>
  <c r="D30" i="38"/>
  <c r="D27" i="38"/>
  <c r="D24" i="38"/>
  <c r="D29" i="38"/>
  <c r="H56" i="38"/>
  <c r="H89" i="38"/>
  <c r="H19" i="38"/>
  <c r="B29" i="50"/>
  <c r="E19" i="38"/>
  <c r="D46" i="38"/>
  <c r="D43" i="38"/>
  <c r="D45" i="38"/>
  <c r="D42" i="38"/>
  <c r="D44" i="38"/>
  <c r="H14" i="38"/>
  <c r="E14" i="38"/>
  <c r="H16" i="38"/>
  <c r="E16" i="38"/>
  <c r="H39" i="38"/>
  <c r="E39" i="38"/>
  <c r="H121" i="38"/>
  <c r="E121" i="38"/>
  <c r="H35" i="38"/>
  <c r="E35" i="38"/>
  <c r="H90" i="37"/>
  <c r="E90" i="37"/>
  <c r="H92" i="37"/>
  <c r="H89" i="37"/>
  <c r="H44" i="37"/>
  <c r="E44" i="37"/>
  <c r="H91" i="37"/>
  <c r="E51" i="37"/>
  <c r="H34" i="37"/>
  <c r="F131" i="37"/>
  <c r="E109" i="37"/>
  <c r="H109" i="37"/>
  <c r="E58" i="37"/>
  <c r="H58" i="37"/>
  <c r="F133" i="34"/>
  <c r="E112" i="34"/>
  <c r="H112" i="34"/>
  <c r="D38" i="34"/>
  <c r="D34" i="34"/>
  <c r="D39" i="34"/>
  <c r="D35" i="34"/>
  <c r="D36" i="34"/>
  <c r="D37" i="34"/>
  <c r="E124" i="34"/>
  <c r="E102" i="34"/>
  <c r="H102" i="34"/>
  <c r="Q17" i="50"/>
  <c r="D121" i="34"/>
  <c r="D120" i="34"/>
  <c r="D122" i="34"/>
  <c r="E119" i="34"/>
  <c r="E15" i="34"/>
  <c r="H15" i="34"/>
  <c r="D44" i="34"/>
  <c r="D46" i="34"/>
  <c r="D43" i="34"/>
  <c r="D45" i="34"/>
  <c r="D42" i="34"/>
  <c r="E74" i="34"/>
  <c r="D98" i="34"/>
  <c r="E96" i="34"/>
  <c r="D97" i="34"/>
  <c r="H109" i="34"/>
  <c r="E109" i="34"/>
  <c r="H81" i="34"/>
  <c r="Q15" i="50"/>
  <c r="E81" i="34"/>
  <c r="E66" i="34"/>
  <c r="H66" i="34"/>
  <c r="H14" i="34"/>
  <c r="E14" i="34"/>
  <c r="H29" i="34"/>
  <c r="E29" i="34"/>
  <c r="E114" i="34"/>
  <c r="H114" i="34"/>
  <c r="E78" i="34"/>
  <c r="D84" i="34"/>
  <c r="D85" i="34"/>
  <c r="D86" i="34"/>
  <c r="E83" i="34"/>
  <c r="E71" i="34"/>
  <c r="E31" i="34"/>
  <c r="H31" i="34"/>
  <c r="E64" i="34"/>
  <c r="H64" i="34"/>
  <c r="H68" i="34"/>
  <c r="E68" i="34"/>
  <c r="H113" i="34"/>
  <c r="E113" i="34"/>
  <c r="E75" i="34"/>
  <c r="H75" i="34"/>
  <c r="E77" i="34"/>
  <c r="E24" i="34"/>
  <c r="H24" i="34"/>
  <c r="D58" i="34"/>
  <c r="D50" i="34"/>
  <c r="D51" i="34"/>
  <c r="D55" i="34"/>
  <c r="D52" i="34"/>
  <c r="D54" i="34"/>
  <c r="E48" i="34"/>
  <c r="D53" i="34"/>
  <c r="D57" i="34"/>
  <c r="D49" i="34"/>
  <c r="D56" i="34"/>
  <c r="E80" i="34"/>
  <c r="H72" i="34"/>
  <c r="E72" i="34"/>
  <c r="E65" i="34"/>
  <c r="H65" i="34"/>
  <c r="E21" i="34"/>
  <c r="H26" i="34"/>
  <c r="E26" i="34"/>
  <c r="H69" i="34"/>
  <c r="E69" i="34"/>
  <c r="H28" i="34"/>
  <c r="E28" i="34"/>
  <c r="E18" i="34"/>
  <c r="H117" i="34"/>
  <c r="E117" i="34"/>
  <c r="E30" i="34"/>
  <c r="H30" i="34"/>
  <c r="E60" i="34"/>
  <c r="H61" i="34"/>
  <c r="E61" i="34"/>
  <c r="E12" i="34"/>
  <c r="H12" i="34"/>
  <c r="H63" i="34"/>
  <c r="E63" i="34"/>
  <c r="H69" i="33"/>
  <c r="E69" i="33"/>
  <c r="E21" i="33"/>
  <c r="H63" i="33"/>
  <c r="E63" i="33"/>
  <c r="D84" i="33"/>
  <c r="D85" i="33"/>
  <c r="D86" i="33"/>
  <c r="E83" i="33"/>
  <c r="H61" i="33"/>
  <c r="E61" i="33"/>
  <c r="E18" i="33"/>
  <c r="E102" i="33"/>
  <c r="H102" i="33"/>
  <c r="E65" i="33"/>
  <c r="H65" i="33"/>
  <c r="H112" i="33"/>
  <c r="E112" i="33"/>
  <c r="D34" i="33"/>
  <c r="D38" i="33"/>
  <c r="D35" i="33"/>
  <c r="D39" i="33"/>
  <c r="D36" i="33"/>
  <c r="D37" i="33"/>
  <c r="E12" i="33"/>
  <c r="H12" i="33"/>
  <c r="D44" i="33"/>
  <c r="D46" i="33"/>
  <c r="D43" i="33"/>
  <c r="D45" i="33"/>
  <c r="D42" i="33"/>
  <c r="E77" i="33"/>
  <c r="E15" i="33"/>
  <c r="H15" i="33"/>
  <c r="E124" i="33"/>
  <c r="H29" i="33"/>
  <c r="E29" i="33"/>
  <c r="D121" i="33"/>
  <c r="D122" i="33"/>
  <c r="E119" i="33"/>
  <c r="D120" i="33"/>
  <c r="E71" i="33"/>
  <c r="H109" i="33"/>
  <c r="E109" i="33"/>
  <c r="E92" i="33"/>
  <c r="H92" i="33"/>
  <c r="D98" i="33"/>
  <c r="D97" i="33"/>
  <c r="E96" i="33"/>
  <c r="E81" i="33"/>
  <c r="H78" i="33"/>
  <c r="E78" i="33"/>
  <c r="H14" i="33"/>
  <c r="E14" i="33"/>
  <c r="E66" i="33"/>
  <c r="H66" i="33"/>
  <c r="F133" i="33"/>
  <c r="H75" i="33"/>
  <c r="E75" i="33"/>
  <c r="E74" i="33"/>
  <c r="E80" i="33"/>
  <c r="E104" i="33"/>
  <c r="D105" i="33"/>
  <c r="D106" i="33"/>
  <c r="H64" i="33"/>
  <c r="E64" i="33"/>
  <c r="H68" i="33"/>
  <c r="E68" i="33"/>
  <c r="H72" i="33"/>
  <c r="E72" i="33"/>
  <c r="E60" i="33"/>
  <c r="E24" i="33"/>
  <c r="H24" i="33"/>
  <c r="H117" i="33"/>
  <c r="E117" i="33"/>
  <c r="E125" i="33"/>
  <c r="H125" i="33"/>
  <c r="Q82" i="50"/>
  <c r="Y82" i="50"/>
  <c r="D58" i="33"/>
  <c r="D50" i="33"/>
  <c r="D55" i="33"/>
  <c r="D57" i="33"/>
  <c r="D49" i="33"/>
  <c r="D51" i="33"/>
  <c r="D52" i="33"/>
  <c r="D54" i="33"/>
  <c r="D56" i="33"/>
  <c r="E48" i="33"/>
  <c r="D53" i="33"/>
  <c r="H113" i="33"/>
  <c r="E91" i="32"/>
  <c r="H91" i="32"/>
  <c r="H41" i="32"/>
  <c r="E41" i="32"/>
  <c r="E27" i="32"/>
  <c r="H27" i="32"/>
  <c r="H44" i="32"/>
  <c r="E44" i="32"/>
  <c r="H35" i="32"/>
  <c r="E35" i="32"/>
  <c r="E104" i="32"/>
  <c r="H104" i="32"/>
  <c r="B17" i="50"/>
  <c r="H38" i="32"/>
  <c r="E38" i="32"/>
  <c r="E90" i="32"/>
  <c r="E92" i="32"/>
  <c r="H43" i="32"/>
  <c r="E43" i="32"/>
  <c r="H88" i="32"/>
  <c r="E88" i="32"/>
  <c r="E85" i="32"/>
  <c r="E96" i="32"/>
  <c r="H96" i="32"/>
  <c r="E50" i="32"/>
  <c r="H50" i="32"/>
  <c r="H97" i="32"/>
  <c r="E97" i="32"/>
  <c r="H52" i="32"/>
  <c r="E52" i="32"/>
  <c r="E33" i="32"/>
  <c r="H33" i="32"/>
  <c r="H55" i="32"/>
  <c r="E55" i="32"/>
  <c r="F132" i="31"/>
  <c r="D81" i="25"/>
  <c r="E81" i="25"/>
  <c r="D80" i="25"/>
  <c r="E80" i="25"/>
  <c r="D88" i="25"/>
  <c r="E88" i="25"/>
  <c r="D86" i="25"/>
  <c r="E86" i="25"/>
  <c r="D85" i="25"/>
  <c r="E85" i="25"/>
  <c r="D90" i="25"/>
  <c r="E90" i="25"/>
  <c r="D89" i="25"/>
  <c r="E89" i="25"/>
  <c r="D87" i="25"/>
  <c r="E87" i="25"/>
  <c r="D93" i="25"/>
  <c r="E93" i="25"/>
  <c r="E86" i="22"/>
  <c r="E89" i="22"/>
  <c r="E20" i="22"/>
  <c r="E117" i="22"/>
  <c r="E23" i="22"/>
  <c r="Q38" i="8"/>
  <c r="H39" i="8"/>
  <c r="I39" i="8"/>
  <c r="J39" i="8"/>
  <c r="H40" i="8"/>
  <c r="I40" i="8"/>
  <c r="J40" i="8"/>
  <c r="H38" i="8"/>
  <c r="I38" i="8"/>
  <c r="J38" i="8"/>
  <c r="B43" i="8"/>
  <c r="C43" i="8"/>
  <c r="D43" i="8"/>
  <c r="H42" i="8"/>
  <c r="I42" i="8"/>
  <c r="J42" i="8"/>
  <c r="B44" i="8"/>
  <c r="C44" i="8"/>
  <c r="D44" i="8"/>
  <c r="H41" i="8"/>
  <c r="I41" i="8"/>
  <c r="J41" i="8"/>
  <c r="C66" i="8"/>
  <c r="D66" i="8"/>
  <c r="C65" i="8"/>
  <c r="D65" i="8"/>
  <c r="C64" i="8"/>
  <c r="D64" i="8"/>
  <c r="C63" i="8"/>
  <c r="D63" i="8"/>
  <c r="C62" i="8"/>
  <c r="D62" i="8"/>
  <c r="C61" i="8"/>
  <c r="D61" i="8"/>
  <c r="C60" i="8"/>
  <c r="D60" i="8"/>
  <c r="C59" i="8"/>
  <c r="D59" i="8"/>
  <c r="C58" i="8"/>
  <c r="D58" i="8"/>
  <c r="C57" i="8"/>
  <c r="D57" i="8"/>
  <c r="C56" i="8"/>
  <c r="D56" i="8"/>
  <c r="C55" i="8"/>
  <c r="C24" i="8"/>
  <c r="C23" i="8"/>
  <c r="D23" i="8"/>
  <c r="C22" i="8"/>
  <c r="C21" i="8"/>
  <c r="D21" i="8"/>
  <c r="C20" i="8"/>
  <c r="D20" i="8"/>
  <c r="C19" i="8"/>
  <c r="D19" i="8"/>
  <c r="C18" i="8"/>
  <c r="D18" i="8"/>
  <c r="C17" i="8"/>
  <c r="D17" i="8"/>
  <c r="C16" i="8"/>
  <c r="D16" i="8"/>
  <c r="C15" i="8"/>
  <c r="D15" i="8"/>
  <c r="C14" i="8"/>
  <c r="D14" i="8"/>
  <c r="C13" i="8"/>
  <c r="D13" i="8"/>
  <c r="C12" i="8"/>
  <c r="D12" i="8"/>
  <c r="C11" i="8"/>
  <c r="D11" i="8"/>
  <c r="C10" i="8"/>
  <c r="D10" i="8"/>
  <c r="C9" i="8"/>
  <c r="U17" i="50"/>
  <c r="F70" i="50"/>
  <c r="H101" i="50"/>
  <c r="F34" i="50"/>
  <c r="U94" i="50"/>
  <c r="U114" i="50"/>
  <c r="Y114" i="50"/>
  <c r="W114" i="50"/>
  <c r="W90" i="50"/>
  <c r="AA90" i="50"/>
  <c r="U74" i="50"/>
  <c r="U70" i="50"/>
  <c r="E24" i="45"/>
  <c r="N24" i="45"/>
  <c r="J28" i="8"/>
  <c r="J26" i="8"/>
  <c r="J29" i="8"/>
  <c r="J27" i="8"/>
  <c r="D24" i="8"/>
  <c r="D9" i="8"/>
  <c r="C25" i="8"/>
  <c r="D55" i="8"/>
  <c r="D67" i="8"/>
  <c r="C67" i="8"/>
  <c r="D45" i="8"/>
  <c r="E37" i="8"/>
  <c r="F90" i="50"/>
  <c r="Y102" i="50"/>
  <c r="W110" i="50"/>
  <c r="U90" i="50"/>
  <c r="H74" i="50"/>
  <c r="H90" i="50"/>
  <c r="F114" i="50"/>
  <c r="H70" i="50"/>
  <c r="F110" i="50"/>
  <c r="H110" i="50"/>
  <c r="F28" i="50"/>
  <c r="H34" i="50"/>
  <c r="H114" i="50"/>
  <c r="H98" i="50"/>
  <c r="H94" i="50"/>
  <c r="W94" i="50"/>
  <c r="F94" i="50"/>
  <c r="J94" i="50"/>
  <c r="F74" i="50"/>
  <c r="J74" i="50"/>
  <c r="W70" i="50"/>
  <c r="W74" i="50"/>
  <c r="F18" i="50"/>
  <c r="J18" i="50"/>
  <c r="U110" i="50"/>
  <c r="H18" i="50"/>
  <c r="L18" i="50"/>
  <c r="U100" i="50"/>
  <c r="Y97" i="50"/>
  <c r="J70" i="50"/>
  <c r="AA77" i="50"/>
  <c r="L71" i="50"/>
  <c r="S74" i="50"/>
  <c r="Q90" i="50"/>
  <c r="L117" i="50"/>
  <c r="S70" i="50"/>
  <c r="D90" i="50"/>
  <c r="D110" i="50"/>
  <c r="S110" i="50"/>
  <c r="AA122" i="50"/>
  <c r="D94" i="50"/>
  <c r="AA117" i="50"/>
  <c r="S100" i="50"/>
  <c r="J71" i="50"/>
  <c r="AA102" i="50"/>
  <c r="J117" i="50"/>
  <c r="D114" i="50"/>
  <c r="J91" i="50"/>
  <c r="L97" i="50"/>
  <c r="AA94" i="50"/>
  <c r="S80" i="50"/>
  <c r="L91" i="50"/>
  <c r="Q110" i="50"/>
  <c r="L111" i="50"/>
  <c r="D70" i="50"/>
  <c r="D14" i="50"/>
  <c r="B114" i="50"/>
  <c r="J77" i="50"/>
  <c r="L77" i="50"/>
  <c r="AA97" i="50"/>
  <c r="D74" i="50"/>
  <c r="Y77" i="50"/>
  <c r="B90" i="50"/>
  <c r="J97" i="50"/>
  <c r="Q94" i="50"/>
  <c r="AA111" i="50"/>
  <c r="Q70" i="50"/>
  <c r="Q74" i="50"/>
  <c r="S17" i="50"/>
  <c r="Y111" i="50"/>
  <c r="S114" i="50"/>
  <c r="J111" i="50"/>
  <c r="Y49" i="50"/>
  <c r="Q28" i="45"/>
  <c r="H26" i="45"/>
  <c r="U52" i="50"/>
  <c r="Q24" i="45"/>
  <c r="K29" i="45"/>
  <c r="Q48" i="50"/>
  <c r="K24" i="45"/>
  <c r="K134" i="45"/>
  <c r="K109" i="45"/>
  <c r="Q59" i="50"/>
  <c r="Q45" i="45"/>
  <c r="Q58" i="45"/>
  <c r="E29" i="45"/>
  <c r="N42" i="45"/>
  <c r="H57" i="43"/>
  <c r="E34" i="43"/>
  <c r="N34" i="43"/>
  <c r="K91" i="43"/>
  <c r="Q91" i="43"/>
  <c r="D54" i="50"/>
  <c r="H48" i="50"/>
  <c r="H52" i="50"/>
  <c r="H56" i="50"/>
  <c r="H54" i="50"/>
  <c r="H46" i="41"/>
  <c r="N46" i="41"/>
  <c r="H44" i="41"/>
  <c r="K44" i="41"/>
  <c r="N58" i="41"/>
  <c r="K43" i="41"/>
  <c r="Q44" i="41"/>
  <c r="H114" i="41"/>
  <c r="Q91" i="41"/>
  <c r="N92" i="41"/>
  <c r="W32" i="50"/>
  <c r="E113" i="40"/>
  <c r="K113" i="40"/>
  <c r="K109" i="40"/>
  <c r="S28" i="50"/>
  <c r="K112" i="40"/>
  <c r="U32" i="50"/>
  <c r="K89" i="40"/>
  <c r="K114" i="40"/>
  <c r="H90" i="39"/>
  <c r="Q98" i="50"/>
  <c r="H26" i="39"/>
  <c r="Q100" i="50"/>
  <c r="K91" i="39"/>
  <c r="S98" i="50"/>
  <c r="Q92" i="39"/>
  <c r="Q114" i="39"/>
  <c r="W100" i="50"/>
  <c r="E26" i="39"/>
  <c r="K92" i="39"/>
  <c r="H50" i="38"/>
  <c r="Q34" i="38"/>
  <c r="N53" i="38"/>
  <c r="D32" i="50"/>
  <c r="E34" i="38"/>
  <c r="E53" i="38"/>
  <c r="H34" i="38"/>
  <c r="Q121" i="38"/>
  <c r="Q56" i="38"/>
  <c r="H98" i="37"/>
  <c r="K35" i="37"/>
  <c r="E28" i="37"/>
  <c r="H28" i="37"/>
  <c r="B92" i="50"/>
  <c r="H12" i="50"/>
  <c r="H16" i="50"/>
  <c r="H14" i="50"/>
  <c r="Q28" i="50"/>
  <c r="B52" i="50"/>
  <c r="D52" i="50"/>
  <c r="D28" i="50"/>
  <c r="S52" i="50"/>
  <c r="B36" i="50"/>
  <c r="B56" i="50"/>
  <c r="B48" i="50"/>
  <c r="D39" i="50"/>
  <c r="B28" i="50"/>
  <c r="D34" i="50"/>
  <c r="J60" i="50"/>
  <c r="B32" i="50"/>
  <c r="Q32" i="50"/>
  <c r="Q56" i="50"/>
  <c r="D35" i="50"/>
  <c r="L35" i="50"/>
  <c r="B11" i="50"/>
  <c r="Q8" i="50"/>
  <c r="D56" i="50"/>
  <c r="D36" i="50"/>
  <c r="B10" i="50"/>
  <c r="S48" i="50"/>
  <c r="L49" i="50"/>
  <c r="D16" i="50"/>
  <c r="D11" i="50"/>
  <c r="AA40" i="50"/>
  <c r="S8" i="50"/>
  <c r="D48" i="50"/>
  <c r="Q52" i="50"/>
  <c r="S32" i="50"/>
  <c r="S18" i="50"/>
  <c r="J54" i="50"/>
  <c r="F32" i="50"/>
  <c r="L29" i="50"/>
  <c r="F16" i="50"/>
  <c r="AA29" i="50"/>
  <c r="AA60" i="50"/>
  <c r="Y60" i="50"/>
  <c r="W52" i="50"/>
  <c r="AA49" i="50"/>
  <c r="W48" i="50"/>
  <c r="W28" i="50"/>
  <c r="U18" i="50"/>
  <c r="U8" i="50"/>
  <c r="W18" i="50"/>
  <c r="AA55" i="50"/>
  <c r="L60" i="50"/>
  <c r="J29" i="50"/>
  <c r="F36" i="50"/>
  <c r="H36" i="50"/>
  <c r="J35" i="50"/>
  <c r="F48" i="50"/>
  <c r="F11" i="50"/>
  <c r="AA35" i="50"/>
  <c r="Y35" i="50"/>
  <c r="U48" i="50"/>
  <c r="W17" i="50"/>
  <c r="L55" i="50"/>
  <c r="F56" i="50"/>
  <c r="Y29" i="50"/>
  <c r="F52" i="50"/>
  <c r="H32" i="50"/>
  <c r="W58" i="50"/>
  <c r="Y55" i="50"/>
  <c r="H11" i="50"/>
  <c r="W12" i="50"/>
  <c r="H28" i="50"/>
  <c r="U28" i="50"/>
  <c r="Y40" i="50"/>
  <c r="J55" i="50"/>
  <c r="J40" i="50"/>
  <c r="F14" i="50"/>
  <c r="J14" i="50"/>
  <c r="J49" i="50"/>
  <c r="L40" i="50"/>
  <c r="AA8" i="50"/>
  <c r="Y15" i="50"/>
  <c r="S12" i="50"/>
  <c r="AA15" i="50"/>
  <c r="U12" i="50"/>
  <c r="Q18" i="50"/>
  <c r="Y17" i="50"/>
  <c r="Q12" i="50"/>
  <c r="N31" i="33"/>
  <c r="N26" i="33"/>
  <c r="H31" i="33"/>
  <c r="E26" i="33"/>
  <c r="E31" i="33"/>
  <c r="H26" i="33"/>
  <c r="H90" i="33"/>
  <c r="J12" i="50"/>
  <c r="L17" i="50"/>
  <c r="L12" i="50"/>
  <c r="J17" i="50"/>
  <c r="J15" i="50"/>
  <c r="H13" i="50"/>
  <c r="D13" i="50"/>
  <c r="B13" i="50"/>
  <c r="C17" i="50"/>
  <c r="L15" i="50"/>
  <c r="D10" i="50"/>
  <c r="F13" i="50"/>
  <c r="H10" i="50"/>
  <c r="L8" i="50"/>
  <c r="F10" i="50"/>
  <c r="B16" i="50"/>
  <c r="E97" i="31"/>
  <c r="K97" i="31"/>
  <c r="E39" i="37"/>
  <c r="H27" i="37"/>
  <c r="Q27" i="37"/>
  <c r="E52" i="37"/>
  <c r="Q52" i="37"/>
  <c r="H86" i="37"/>
  <c r="Q86" i="37"/>
  <c r="H96" i="50"/>
  <c r="K125" i="37"/>
  <c r="D102" i="50"/>
  <c r="Q125" i="37"/>
  <c r="H102" i="50"/>
  <c r="E106" i="37"/>
  <c r="Q106" i="37"/>
  <c r="E57" i="37"/>
  <c r="Q57" i="37"/>
  <c r="K105" i="37"/>
  <c r="D99" i="50"/>
  <c r="Q105" i="37"/>
  <c r="H99" i="50"/>
  <c r="H35" i="37"/>
  <c r="Q35" i="37"/>
  <c r="E37" i="37"/>
  <c r="Q37" i="37"/>
  <c r="K50" i="37"/>
  <c r="Q50" i="37"/>
  <c r="H29" i="37"/>
  <c r="Q29" i="37"/>
  <c r="Q112" i="37"/>
  <c r="K112" i="37"/>
  <c r="D100" i="50"/>
  <c r="N112" i="37"/>
  <c r="K34" i="37"/>
  <c r="Q34" i="37"/>
  <c r="H39" i="37"/>
  <c r="K51" i="37"/>
  <c r="Q51" i="37"/>
  <c r="E49" i="37"/>
  <c r="Q49" i="37"/>
  <c r="N97" i="31"/>
  <c r="E113" i="33"/>
  <c r="Q113" i="33"/>
  <c r="W80" i="50"/>
  <c r="N113" i="33"/>
  <c r="H114" i="33"/>
  <c r="Q80" i="50"/>
  <c r="E114" i="33"/>
  <c r="N114" i="33"/>
  <c r="K113" i="31"/>
  <c r="D80" i="50"/>
  <c r="H113" i="31"/>
  <c r="Q25" i="31"/>
  <c r="Q97" i="31"/>
  <c r="N25" i="31"/>
  <c r="H91" i="31"/>
  <c r="E25" i="31"/>
  <c r="Q84" i="31"/>
  <c r="H76" i="50"/>
  <c r="Q91" i="31"/>
  <c r="Q114" i="31"/>
  <c r="H114" i="31"/>
  <c r="E113" i="31"/>
  <c r="E84" i="31"/>
  <c r="E52" i="31"/>
  <c r="E49" i="31"/>
  <c r="N84" i="31"/>
  <c r="N91" i="31"/>
  <c r="H109" i="31"/>
  <c r="N109" i="31"/>
  <c r="K114" i="33"/>
  <c r="H113" i="43"/>
  <c r="Q120" i="50"/>
  <c r="H114" i="37"/>
  <c r="N113" i="43"/>
  <c r="U120" i="50"/>
  <c r="Q114" i="43"/>
  <c r="W120" i="50"/>
  <c r="H114" i="43"/>
  <c r="E114" i="37"/>
  <c r="E114" i="43"/>
  <c r="Q37" i="8"/>
  <c r="Q40" i="8"/>
  <c r="K114" i="41"/>
  <c r="K113" i="43"/>
  <c r="S120" i="50"/>
  <c r="K114" i="43"/>
  <c r="K113" i="37"/>
  <c r="Q113" i="37"/>
  <c r="K114" i="37"/>
  <c r="Q114" i="37"/>
  <c r="H93" i="34"/>
  <c r="E49" i="43"/>
  <c r="Q97" i="43"/>
  <c r="H90" i="43"/>
  <c r="H34" i="43"/>
  <c r="H97" i="43"/>
  <c r="N91" i="43"/>
  <c r="E97" i="43"/>
  <c r="N44" i="45"/>
  <c r="K42" i="45"/>
  <c r="N30" i="45"/>
  <c r="N92" i="45"/>
  <c r="N120" i="45"/>
  <c r="Q57" i="45"/>
  <c r="E57" i="45"/>
  <c r="Q92" i="45"/>
  <c r="W56" i="50"/>
  <c r="E27" i="45"/>
  <c r="Q120" i="45"/>
  <c r="W59" i="50"/>
  <c r="H106" i="45"/>
  <c r="Q57" i="50"/>
  <c r="E50" i="45"/>
  <c r="H42" i="45"/>
  <c r="H57" i="45"/>
  <c r="K90" i="45"/>
  <c r="H113" i="45"/>
  <c r="Q58" i="50"/>
  <c r="K122" i="45"/>
  <c r="S59" i="50"/>
  <c r="N113" i="45"/>
  <c r="U58" i="50"/>
  <c r="K35" i="45"/>
  <c r="K26" i="45"/>
  <c r="K25" i="45"/>
  <c r="N122" i="45"/>
  <c r="N26" i="45"/>
  <c r="N94" i="45"/>
  <c r="K113" i="45"/>
  <c r="S58" i="50"/>
  <c r="N35" i="45"/>
  <c r="H30" i="45"/>
  <c r="Q30" i="45"/>
  <c r="E113" i="45"/>
  <c r="N25" i="45"/>
  <c r="K94" i="45"/>
  <c r="S56" i="50"/>
  <c r="E122" i="45"/>
  <c r="H91" i="43"/>
  <c r="N90" i="43"/>
  <c r="Q29" i="43"/>
  <c r="N94" i="43"/>
  <c r="K90" i="43"/>
  <c r="S118" i="50"/>
  <c r="K94" i="43"/>
  <c r="Q90" i="43"/>
  <c r="Q86" i="41"/>
  <c r="N89" i="41"/>
  <c r="N52" i="41"/>
  <c r="H43" i="41"/>
  <c r="Q43" i="41"/>
  <c r="N45" i="41"/>
  <c r="K89" i="41"/>
  <c r="H91" i="41"/>
  <c r="E45" i="41"/>
  <c r="H45" i="41"/>
  <c r="H92" i="41"/>
  <c r="H97" i="41"/>
  <c r="Q45" i="41"/>
  <c r="N97" i="41"/>
  <c r="N43" i="41"/>
  <c r="Q90" i="41"/>
  <c r="Q34" i="41"/>
  <c r="H34" i="41"/>
  <c r="H94" i="41"/>
  <c r="K39" i="41"/>
  <c r="H58" i="41"/>
  <c r="N94" i="41"/>
  <c r="K94" i="41"/>
  <c r="Q92" i="41"/>
  <c r="E58" i="41"/>
  <c r="H113" i="37"/>
  <c r="B100" i="50"/>
  <c r="N27" i="37"/>
  <c r="E45" i="37"/>
  <c r="N57" i="37"/>
  <c r="H105" i="37"/>
  <c r="B99" i="50"/>
  <c r="E113" i="37"/>
  <c r="K37" i="37"/>
  <c r="N113" i="37"/>
  <c r="E54" i="38"/>
  <c r="Q55" i="38"/>
  <c r="N55" i="38"/>
  <c r="E55" i="38"/>
  <c r="H55" i="38"/>
  <c r="K34" i="38"/>
  <c r="Q94" i="39"/>
  <c r="N28" i="39"/>
  <c r="H28" i="39"/>
  <c r="H94" i="40"/>
  <c r="Q91" i="40"/>
  <c r="K91" i="40"/>
  <c r="N91" i="40"/>
  <c r="K28" i="39"/>
  <c r="Q24" i="39"/>
  <c r="N94" i="39"/>
  <c r="Q26" i="39"/>
  <c r="E24" i="39"/>
  <c r="N24" i="39"/>
  <c r="Q28" i="39"/>
  <c r="K26" i="39"/>
  <c r="E36" i="38"/>
  <c r="N56" i="38"/>
  <c r="N49" i="38"/>
  <c r="E56" i="38"/>
  <c r="E49" i="38"/>
  <c r="H53" i="38"/>
  <c r="Q53" i="38"/>
  <c r="Q52" i="38"/>
  <c r="Q122" i="38"/>
  <c r="Q36" i="38"/>
  <c r="N36" i="38"/>
  <c r="Q49" i="38"/>
  <c r="E122" i="38"/>
  <c r="H36" i="38"/>
  <c r="H122" i="38"/>
  <c r="B39" i="50"/>
  <c r="N122" i="38"/>
  <c r="F39" i="50"/>
  <c r="H45" i="37"/>
  <c r="N39" i="37"/>
  <c r="N28" i="33"/>
  <c r="K30" i="33"/>
  <c r="H30" i="33"/>
  <c r="E30" i="33"/>
  <c r="N30" i="33"/>
  <c r="H93" i="33"/>
  <c r="K90" i="31"/>
  <c r="D78" i="50"/>
  <c r="N31" i="31"/>
  <c r="N37" i="31"/>
  <c r="K91" i="31"/>
  <c r="E31" i="31"/>
  <c r="E35" i="31"/>
  <c r="E30" i="31"/>
  <c r="N26" i="31"/>
  <c r="H35" i="31"/>
  <c r="N30" i="31"/>
  <c r="K35" i="31"/>
  <c r="Q26" i="31"/>
  <c r="E26" i="31"/>
  <c r="K27" i="31"/>
  <c r="K37" i="31"/>
  <c r="N89" i="31"/>
  <c r="H94" i="34"/>
  <c r="Q94" i="33"/>
  <c r="K94" i="33"/>
  <c r="N94" i="33"/>
  <c r="H26" i="31"/>
  <c r="N58" i="31"/>
  <c r="H90" i="34"/>
  <c r="H93" i="31"/>
  <c r="Q39" i="38"/>
  <c r="Q109" i="41"/>
  <c r="E109" i="40"/>
  <c r="K109" i="38"/>
  <c r="E89" i="34"/>
  <c r="E90" i="34"/>
  <c r="E93" i="34"/>
  <c r="E94" i="34"/>
  <c r="K24" i="39"/>
  <c r="K94" i="39"/>
  <c r="N29" i="39"/>
  <c r="E29" i="39"/>
  <c r="Q54" i="38"/>
  <c r="Q58" i="38"/>
  <c r="E38" i="38"/>
  <c r="Q35" i="38"/>
  <c r="Q38" i="38"/>
  <c r="K54" i="38"/>
  <c r="N35" i="38"/>
  <c r="K39" i="38"/>
  <c r="Q109" i="38"/>
  <c r="H109" i="38"/>
  <c r="H38" i="38"/>
  <c r="H54" i="38"/>
  <c r="E109" i="38"/>
  <c r="K58" i="38"/>
  <c r="Q27" i="45"/>
  <c r="K27" i="45"/>
  <c r="N27" i="45"/>
  <c r="K50" i="45"/>
  <c r="N50" i="45"/>
  <c r="H36" i="45"/>
  <c r="E36" i="45"/>
  <c r="Q36" i="45"/>
  <c r="K36" i="45"/>
  <c r="H50" i="45"/>
  <c r="Q51" i="50"/>
  <c r="Q44" i="45"/>
  <c r="K44" i="45"/>
  <c r="E44" i="45"/>
  <c r="K86" i="45"/>
  <c r="Q86" i="45"/>
  <c r="N84" i="45"/>
  <c r="Q84" i="45"/>
  <c r="K84" i="45"/>
  <c r="E84" i="45"/>
  <c r="H84" i="45"/>
  <c r="H85" i="45"/>
  <c r="E85" i="45"/>
  <c r="K85" i="45"/>
  <c r="N85" i="45"/>
  <c r="Q85" i="45"/>
  <c r="H86" i="45"/>
  <c r="E86" i="45"/>
  <c r="H55" i="45"/>
  <c r="E55" i="45"/>
  <c r="N55" i="45"/>
  <c r="K55" i="45"/>
  <c r="Q55" i="45"/>
  <c r="Q106" i="45"/>
  <c r="W57" i="50"/>
  <c r="N106" i="45"/>
  <c r="U57" i="50"/>
  <c r="K106" i="45"/>
  <c r="S57" i="50"/>
  <c r="H54" i="45"/>
  <c r="E54" i="45"/>
  <c r="K54" i="45"/>
  <c r="N54" i="45"/>
  <c r="Q54" i="45"/>
  <c r="Q24" i="43"/>
  <c r="N49" i="43"/>
  <c r="E56" i="43"/>
  <c r="K24" i="43"/>
  <c r="H50" i="43"/>
  <c r="Q113" i="50"/>
  <c r="H89" i="43"/>
  <c r="K25" i="43"/>
  <c r="E44" i="43"/>
  <c r="Q51" i="43"/>
  <c r="E46" i="43"/>
  <c r="H42" i="43"/>
  <c r="N25" i="43"/>
  <c r="N51" i="43"/>
  <c r="Q57" i="43"/>
  <c r="N57" i="43"/>
  <c r="N37" i="43"/>
  <c r="K29" i="43"/>
  <c r="K27" i="43"/>
  <c r="K37" i="43"/>
  <c r="Q89" i="43"/>
  <c r="N29" i="43"/>
  <c r="N24" i="43"/>
  <c r="Q37" i="43"/>
  <c r="Q27" i="43"/>
  <c r="K120" i="43"/>
  <c r="Q120" i="43"/>
  <c r="N120" i="43"/>
  <c r="E92" i="43"/>
  <c r="K92" i="43"/>
  <c r="N92" i="43"/>
  <c r="Q92" i="43"/>
  <c r="N46" i="43"/>
  <c r="K46" i="43"/>
  <c r="Q46" i="43"/>
  <c r="K49" i="43"/>
  <c r="Q49" i="43"/>
  <c r="H25" i="43"/>
  <c r="E25" i="43"/>
  <c r="N44" i="43"/>
  <c r="K44" i="43"/>
  <c r="Q44" i="43"/>
  <c r="N42" i="43"/>
  <c r="Q42" i="43"/>
  <c r="K42" i="43"/>
  <c r="K50" i="43"/>
  <c r="Q50" i="43"/>
  <c r="N50" i="43"/>
  <c r="H84" i="43"/>
  <c r="K84" i="43"/>
  <c r="S115" i="50"/>
  <c r="N84" i="43"/>
  <c r="Q84" i="43"/>
  <c r="E84" i="43"/>
  <c r="H26" i="43"/>
  <c r="E26" i="43"/>
  <c r="K26" i="43"/>
  <c r="Q26" i="43"/>
  <c r="N26" i="43"/>
  <c r="K36" i="43"/>
  <c r="N36" i="43"/>
  <c r="Q36" i="43"/>
  <c r="K53" i="43"/>
  <c r="Q53" i="43"/>
  <c r="N53" i="43"/>
  <c r="H106" i="43"/>
  <c r="E106" i="43"/>
  <c r="Q106" i="43"/>
  <c r="N106" i="43"/>
  <c r="U119" i="50"/>
  <c r="K106" i="43"/>
  <c r="H85" i="43"/>
  <c r="N85" i="43"/>
  <c r="Q85" i="43"/>
  <c r="E85" i="43"/>
  <c r="K85" i="43"/>
  <c r="K31" i="43"/>
  <c r="Q31" i="43"/>
  <c r="H31" i="43"/>
  <c r="E31" i="43"/>
  <c r="N31" i="43"/>
  <c r="N121" i="43"/>
  <c r="Q121" i="43"/>
  <c r="K121" i="43"/>
  <c r="K56" i="43"/>
  <c r="Q56" i="43"/>
  <c r="N56" i="43"/>
  <c r="K105" i="43"/>
  <c r="S119" i="50"/>
  <c r="Q105" i="43"/>
  <c r="N105" i="43"/>
  <c r="E105" i="43"/>
  <c r="H105" i="43"/>
  <c r="Q119" i="50"/>
  <c r="H86" i="43"/>
  <c r="E86" i="43"/>
  <c r="K34" i="43"/>
  <c r="Q34" i="43"/>
  <c r="H52" i="43"/>
  <c r="K52" i="43"/>
  <c r="N52" i="43"/>
  <c r="E52" i="43"/>
  <c r="Q52" i="43"/>
  <c r="H38" i="43"/>
  <c r="Q38" i="43"/>
  <c r="K38" i="43"/>
  <c r="N38" i="43"/>
  <c r="E38" i="43"/>
  <c r="H27" i="43"/>
  <c r="E27" i="43"/>
  <c r="H53" i="43"/>
  <c r="Q86" i="43"/>
  <c r="H55" i="43"/>
  <c r="E55" i="43"/>
  <c r="N55" i="43"/>
  <c r="K55" i="43"/>
  <c r="Q55" i="43"/>
  <c r="H35" i="43"/>
  <c r="Q35" i="43"/>
  <c r="K35" i="43"/>
  <c r="N35" i="43"/>
  <c r="E35" i="43"/>
  <c r="H29" i="43"/>
  <c r="E29" i="43"/>
  <c r="N45" i="43"/>
  <c r="K45" i="43"/>
  <c r="Q45" i="43"/>
  <c r="K54" i="43"/>
  <c r="Q54" i="43"/>
  <c r="H54" i="43"/>
  <c r="N54" i="43"/>
  <c r="E54" i="43"/>
  <c r="E37" i="43"/>
  <c r="H37" i="43"/>
  <c r="H24" i="43"/>
  <c r="E24" i="43"/>
  <c r="E53" i="43"/>
  <c r="E36" i="43"/>
  <c r="N122" i="43"/>
  <c r="Q122" i="43"/>
  <c r="K122" i="43"/>
  <c r="N86" i="43"/>
  <c r="K86" i="43"/>
  <c r="H30" i="43"/>
  <c r="K30" i="43"/>
  <c r="N30" i="43"/>
  <c r="Q30" i="43"/>
  <c r="E30" i="43"/>
  <c r="N27" i="42"/>
  <c r="H109" i="41"/>
  <c r="B120" i="50"/>
  <c r="N91" i="41"/>
  <c r="K91" i="41"/>
  <c r="K92" i="41"/>
  <c r="Q29" i="41"/>
  <c r="K24" i="41"/>
  <c r="K109" i="41"/>
  <c r="D120" i="50"/>
  <c r="E109" i="41"/>
  <c r="N24" i="41"/>
  <c r="E29" i="41"/>
  <c r="Q27" i="41"/>
  <c r="Q24" i="41"/>
  <c r="N27" i="41"/>
  <c r="Q94" i="41"/>
  <c r="K27" i="41"/>
  <c r="Q52" i="41"/>
  <c r="H89" i="41"/>
  <c r="E97" i="41"/>
  <c r="K52" i="41"/>
  <c r="K97" i="41"/>
  <c r="K58" i="41"/>
  <c r="K86" i="41"/>
  <c r="E52" i="41"/>
  <c r="N86" i="41"/>
  <c r="N49" i="41"/>
  <c r="Q89" i="41"/>
  <c r="H30" i="41"/>
  <c r="B112" i="50"/>
  <c r="K30" i="41"/>
  <c r="Q30" i="41"/>
  <c r="N30" i="41"/>
  <c r="E30" i="41"/>
  <c r="H56" i="41"/>
  <c r="K56" i="41"/>
  <c r="N56" i="41"/>
  <c r="Q56" i="41"/>
  <c r="E56" i="41"/>
  <c r="K37" i="41"/>
  <c r="K54" i="41"/>
  <c r="H35" i="41"/>
  <c r="K35" i="41"/>
  <c r="N35" i="41"/>
  <c r="E35" i="41"/>
  <c r="Q35" i="41"/>
  <c r="H105" i="41"/>
  <c r="E105" i="41"/>
  <c r="Q105" i="41"/>
  <c r="K105" i="41"/>
  <c r="D119" i="50"/>
  <c r="N105" i="41"/>
  <c r="E50" i="41"/>
  <c r="N50" i="41"/>
  <c r="K50" i="41"/>
  <c r="Q50" i="41"/>
  <c r="H50" i="41"/>
  <c r="H39" i="41"/>
  <c r="E39" i="41"/>
  <c r="H106" i="41"/>
  <c r="Q106" i="41"/>
  <c r="N106" i="41"/>
  <c r="K106" i="41"/>
  <c r="E106" i="41"/>
  <c r="N39" i="41"/>
  <c r="E37" i="41"/>
  <c r="H37" i="41"/>
  <c r="E57" i="41"/>
  <c r="N57" i="41"/>
  <c r="H57" i="41"/>
  <c r="K57" i="41"/>
  <c r="K29" i="41"/>
  <c r="E84" i="41"/>
  <c r="K84" i="41"/>
  <c r="D116" i="50"/>
  <c r="Q84" i="41"/>
  <c r="H84" i="41"/>
  <c r="B116" i="50"/>
  <c r="N84" i="41"/>
  <c r="F116" i="50"/>
  <c r="H122" i="41"/>
  <c r="N122" i="41"/>
  <c r="K122" i="41"/>
  <c r="E122" i="41"/>
  <c r="Q122" i="41"/>
  <c r="H55" i="41"/>
  <c r="E55" i="41"/>
  <c r="K55" i="41"/>
  <c r="N55" i="41"/>
  <c r="Q55" i="41"/>
  <c r="K53" i="41"/>
  <c r="H53" i="41"/>
  <c r="N53" i="41"/>
  <c r="E53" i="41"/>
  <c r="Q53" i="41"/>
  <c r="N29" i="41"/>
  <c r="H86" i="41"/>
  <c r="E86" i="41"/>
  <c r="E54" i="41"/>
  <c r="N54" i="41"/>
  <c r="Q54" i="41"/>
  <c r="E121" i="41"/>
  <c r="K121" i="41"/>
  <c r="N121" i="41"/>
  <c r="H121" i="41"/>
  <c r="Q121" i="41"/>
  <c r="N37" i="41"/>
  <c r="H120" i="41"/>
  <c r="B121" i="50"/>
  <c r="K120" i="41"/>
  <c r="E120" i="41"/>
  <c r="N120" i="41"/>
  <c r="Q120" i="41"/>
  <c r="Q37" i="41"/>
  <c r="Q39" i="41"/>
  <c r="E36" i="41"/>
  <c r="Q36" i="41"/>
  <c r="H36" i="41"/>
  <c r="N36" i="41"/>
  <c r="K36" i="41"/>
  <c r="H49" i="41"/>
  <c r="E49" i="41"/>
  <c r="Q49" i="41"/>
  <c r="K49" i="41"/>
  <c r="Q114" i="41"/>
  <c r="N114" i="41"/>
  <c r="F120" i="50"/>
  <c r="N93" i="40"/>
  <c r="K93" i="40"/>
  <c r="Q93" i="40"/>
  <c r="Q94" i="40"/>
  <c r="K94" i="40"/>
  <c r="N94" i="40"/>
  <c r="K86" i="40"/>
  <c r="Q86" i="40"/>
  <c r="N49" i="40"/>
  <c r="Q28" i="40"/>
  <c r="K24" i="40"/>
  <c r="Q24" i="40"/>
  <c r="N86" i="40"/>
  <c r="K105" i="40"/>
  <c r="Q105" i="40"/>
  <c r="N105" i="40"/>
  <c r="K120" i="40"/>
  <c r="Q120" i="40"/>
  <c r="N120" i="40"/>
  <c r="N54" i="40"/>
  <c r="K54" i="40"/>
  <c r="Q54" i="40"/>
  <c r="N38" i="40"/>
  <c r="Q38" i="40"/>
  <c r="K38" i="40"/>
  <c r="K31" i="40"/>
  <c r="N31" i="40"/>
  <c r="Q31" i="40"/>
  <c r="K52" i="40"/>
  <c r="Q52" i="40"/>
  <c r="N52" i="40"/>
  <c r="K36" i="40"/>
  <c r="Q36" i="40"/>
  <c r="N36" i="40"/>
  <c r="K42" i="40"/>
  <c r="Q42" i="40"/>
  <c r="N42" i="40"/>
  <c r="Q39" i="40"/>
  <c r="Q29" i="40"/>
  <c r="K84" i="40"/>
  <c r="Q84" i="40"/>
  <c r="N84" i="40"/>
  <c r="K53" i="40"/>
  <c r="Q53" i="40"/>
  <c r="N53" i="40"/>
  <c r="K25" i="40"/>
  <c r="K85" i="40"/>
  <c r="Q85" i="40"/>
  <c r="N85" i="40"/>
  <c r="N109" i="40"/>
  <c r="Q109" i="40"/>
  <c r="Q26" i="40"/>
  <c r="N26" i="40"/>
  <c r="K26" i="40"/>
  <c r="Q55" i="40"/>
  <c r="N55" i="40"/>
  <c r="K55" i="40"/>
  <c r="Q45" i="40"/>
  <c r="K45" i="40"/>
  <c r="N45" i="40"/>
  <c r="K50" i="40"/>
  <c r="Q50" i="40"/>
  <c r="N50" i="40"/>
  <c r="K106" i="40"/>
  <c r="S37" i="50"/>
  <c r="Q106" i="40"/>
  <c r="N106" i="40"/>
  <c r="Q34" i="40"/>
  <c r="K34" i="40"/>
  <c r="N34" i="40"/>
  <c r="K43" i="40"/>
  <c r="N43" i="40"/>
  <c r="Q43" i="40"/>
  <c r="K29" i="40"/>
  <c r="Q25" i="40"/>
  <c r="Q56" i="40"/>
  <c r="N56" i="40"/>
  <c r="K56" i="40"/>
  <c r="N58" i="40"/>
  <c r="K58" i="40"/>
  <c r="Q58" i="40"/>
  <c r="N122" i="40"/>
  <c r="Q122" i="40"/>
  <c r="K122" i="40"/>
  <c r="Q46" i="40"/>
  <c r="N46" i="40"/>
  <c r="K46" i="40"/>
  <c r="K37" i="40"/>
  <c r="K27" i="40"/>
  <c r="N25" i="40"/>
  <c r="Q27" i="40"/>
  <c r="N113" i="40"/>
  <c r="Q113" i="40"/>
  <c r="K51" i="40"/>
  <c r="Q51" i="40"/>
  <c r="N51" i="40"/>
  <c r="Q35" i="40"/>
  <c r="K35" i="40"/>
  <c r="N35" i="40"/>
  <c r="N27" i="40"/>
  <c r="Q49" i="40"/>
  <c r="K49" i="40"/>
  <c r="K39" i="40"/>
  <c r="N28" i="40"/>
  <c r="N39" i="40"/>
  <c r="N29" i="40"/>
  <c r="K30" i="40"/>
  <c r="N30" i="40"/>
  <c r="Q30" i="40"/>
  <c r="K44" i="40"/>
  <c r="N44" i="40"/>
  <c r="Q44" i="40"/>
  <c r="Q121" i="40"/>
  <c r="K121" i="40"/>
  <c r="N121" i="40"/>
  <c r="N57" i="40"/>
  <c r="Q57" i="40"/>
  <c r="K57" i="40"/>
  <c r="K28" i="40"/>
  <c r="N24" i="40"/>
  <c r="Q37" i="40"/>
  <c r="N37" i="40"/>
  <c r="Q30" i="39"/>
  <c r="K30" i="39"/>
  <c r="K27" i="39"/>
  <c r="Q39" i="39"/>
  <c r="K39" i="39"/>
  <c r="N84" i="39"/>
  <c r="U96" i="50"/>
  <c r="K84" i="39"/>
  <c r="S96" i="50"/>
  <c r="Q84" i="39"/>
  <c r="K85" i="39"/>
  <c r="N85" i="39"/>
  <c r="Q85" i="39"/>
  <c r="K97" i="39"/>
  <c r="Q97" i="39"/>
  <c r="N97" i="39"/>
  <c r="Q98" i="39"/>
  <c r="K98" i="39"/>
  <c r="N98" i="39"/>
  <c r="N25" i="39"/>
  <c r="N27" i="39"/>
  <c r="H51" i="38"/>
  <c r="K51" i="38"/>
  <c r="K38" i="38"/>
  <c r="N39" i="38"/>
  <c r="H52" i="38"/>
  <c r="E51" i="38"/>
  <c r="N51" i="38"/>
  <c r="E52" i="38"/>
  <c r="E50" i="38"/>
  <c r="K50" i="38"/>
  <c r="Q50" i="38"/>
  <c r="N52" i="38"/>
  <c r="E58" i="38"/>
  <c r="H58" i="38"/>
  <c r="K106" i="37"/>
  <c r="N106" i="37"/>
  <c r="N86" i="37"/>
  <c r="E27" i="37"/>
  <c r="H106" i="37"/>
  <c r="K86" i="37"/>
  <c r="E35" i="37"/>
  <c r="E34" i="37"/>
  <c r="N51" i="37"/>
  <c r="K27" i="37"/>
  <c r="D92" i="50"/>
  <c r="N34" i="37"/>
  <c r="N37" i="37"/>
  <c r="K38" i="37"/>
  <c r="H38" i="37"/>
  <c r="K49" i="37"/>
  <c r="N45" i="37"/>
  <c r="H97" i="37"/>
  <c r="B98" i="50"/>
  <c r="K97" i="37"/>
  <c r="D98" i="50"/>
  <c r="N97" i="37"/>
  <c r="E125" i="37"/>
  <c r="H125" i="37"/>
  <c r="B102" i="50"/>
  <c r="N125" i="37"/>
  <c r="F102" i="50"/>
  <c r="K98" i="37"/>
  <c r="N98" i="37"/>
  <c r="H120" i="37"/>
  <c r="E120" i="37"/>
  <c r="N120" i="37"/>
  <c r="K120" i="37"/>
  <c r="H53" i="37"/>
  <c r="E53" i="37"/>
  <c r="K53" i="37"/>
  <c r="N53" i="37"/>
  <c r="H121" i="37"/>
  <c r="E121" i="37"/>
  <c r="N121" i="37"/>
  <c r="K121" i="37"/>
  <c r="H54" i="37"/>
  <c r="K54" i="37"/>
  <c r="N54" i="37"/>
  <c r="E54" i="37"/>
  <c r="H46" i="37"/>
  <c r="E46" i="37"/>
  <c r="N46" i="37"/>
  <c r="K46" i="37"/>
  <c r="H122" i="37"/>
  <c r="N122" i="37"/>
  <c r="K122" i="37"/>
  <c r="E122" i="37"/>
  <c r="H55" i="37"/>
  <c r="K55" i="37"/>
  <c r="E55" i="37"/>
  <c r="N55" i="37"/>
  <c r="H49" i="37"/>
  <c r="N50" i="37"/>
  <c r="N49" i="37"/>
  <c r="N38" i="37"/>
  <c r="H31" i="37"/>
  <c r="K31" i="37"/>
  <c r="N31" i="37"/>
  <c r="E31" i="37"/>
  <c r="N42" i="37"/>
  <c r="H42" i="37"/>
  <c r="E42" i="37"/>
  <c r="K42" i="37"/>
  <c r="H85" i="37"/>
  <c r="N85" i="37"/>
  <c r="K85" i="37"/>
  <c r="E56" i="37"/>
  <c r="H56" i="37"/>
  <c r="N56" i="37"/>
  <c r="K56" i="37"/>
  <c r="K45" i="37"/>
  <c r="N105" i="37"/>
  <c r="E38" i="37"/>
  <c r="H43" i="37"/>
  <c r="E43" i="37"/>
  <c r="K43" i="37"/>
  <c r="N43" i="37"/>
  <c r="H30" i="37"/>
  <c r="K30" i="37"/>
  <c r="E30" i="37"/>
  <c r="N30" i="37"/>
  <c r="H51" i="37"/>
  <c r="H50" i="37"/>
  <c r="E105" i="37"/>
  <c r="E50" i="37"/>
  <c r="H84" i="37"/>
  <c r="B96" i="50"/>
  <c r="N84" i="37"/>
  <c r="K84" i="37"/>
  <c r="D95" i="50"/>
  <c r="N93" i="33"/>
  <c r="Q93" i="33"/>
  <c r="K90" i="33"/>
  <c r="Q27" i="33"/>
  <c r="N27" i="33"/>
  <c r="K28" i="33"/>
  <c r="K93" i="33"/>
  <c r="N49" i="33"/>
  <c r="Q28" i="33"/>
  <c r="E27" i="33"/>
  <c r="H27" i="33"/>
  <c r="Q72" i="50"/>
  <c r="K27" i="33"/>
  <c r="S72" i="50"/>
  <c r="K37" i="33"/>
  <c r="E28" i="33"/>
  <c r="H28" i="33"/>
  <c r="K98" i="33"/>
  <c r="Q98" i="33"/>
  <c r="N98" i="33"/>
  <c r="K36" i="33"/>
  <c r="Q36" i="33"/>
  <c r="N36" i="33"/>
  <c r="K57" i="33"/>
  <c r="N57" i="33"/>
  <c r="Q57" i="33"/>
  <c r="N120" i="33"/>
  <c r="Q120" i="33"/>
  <c r="K120" i="33"/>
  <c r="N42" i="33"/>
  <c r="Q42" i="33"/>
  <c r="K42" i="33"/>
  <c r="Q86" i="33"/>
  <c r="K89" i="33"/>
  <c r="Q89" i="33"/>
  <c r="N89" i="33"/>
  <c r="Q53" i="33"/>
  <c r="N53" i="33"/>
  <c r="K53" i="33"/>
  <c r="Q55" i="33"/>
  <c r="N55" i="33"/>
  <c r="K55" i="33"/>
  <c r="N97" i="33"/>
  <c r="Q97" i="33"/>
  <c r="K97" i="33"/>
  <c r="N45" i="33"/>
  <c r="Q45" i="33"/>
  <c r="K45" i="33"/>
  <c r="N46" i="33"/>
  <c r="Q46" i="33"/>
  <c r="K46" i="33"/>
  <c r="N37" i="33"/>
  <c r="Q37" i="33"/>
  <c r="K39" i="33"/>
  <c r="K86" i="33"/>
  <c r="N50" i="33"/>
  <c r="K50" i="33"/>
  <c r="Q50" i="33"/>
  <c r="Q43" i="33"/>
  <c r="N43" i="33"/>
  <c r="K43" i="33"/>
  <c r="N58" i="33"/>
  <c r="K58" i="33"/>
  <c r="Q58" i="33"/>
  <c r="Q54" i="33"/>
  <c r="N54" i="33"/>
  <c r="K54" i="33"/>
  <c r="Q35" i="33"/>
  <c r="N35" i="33"/>
  <c r="K35" i="33"/>
  <c r="K85" i="33"/>
  <c r="N85" i="33"/>
  <c r="Q85" i="33"/>
  <c r="K122" i="33"/>
  <c r="Q122" i="33"/>
  <c r="N122" i="33"/>
  <c r="Q56" i="33"/>
  <c r="N56" i="33"/>
  <c r="K56" i="33"/>
  <c r="K106" i="33"/>
  <c r="Q106" i="33"/>
  <c r="N106" i="33"/>
  <c r="N121" i="33"/>
  <c r="Q121" i="33"/>
  <c r="K121" i="33"/>
  <c r="N105" i="33"/>
  <c r="Q105" i="33"/>
  <c r="K105" i="33"/>
  <c r="S79" i="50"/>
  <c r="K44" i="33"/>
  <c r="Q44" i="33"/>
  <c r="N44" i="33"/>
  <c r="N86" i="33"/>
  <c r="Q52" i="33"/>
  <c r="N52" i="33"/>
  <c r="K52" i="33"/>
  <c r="E89" i="33"/>
  <c r="K38" i="33"/>
  <c r="N38" i="33"/>
  <c r="Q38" i="33"/>
  <c r="N84" i="33"/>
  <c r="U76" i="50"/>
  <c r="K84" i="33"/>
  <c r="S76" i="50"/>
  <c r="Q84" i="33"/>
  <c r="W76" i="50"/>
  <c r="N51" i="33"/>
  <c r="Q51" i="33"/>
  <c r="K51" i="33"/>
  <c r="H89" i="33"/>
  <c r="N34" i="33"/>
  <c r="Q34" i="33"/>
  <c r="K34" i="33"/>
  <c r="Q49" i="33"/>
  <c r="K49" i="33"/>
  <c r="N39" i="33"/>
  <c r="Q39" i="33"/>
  <c r="K84" i="31"/>
  <c r="D76" i="50"/>
  <c r="N52" i="31"/>
  <c r="H37" i="31"/>
  <c r="H52" i="31"/>
  <c r="N49" i="31"/>
  <c r="Q113" i="31"/>
  <c r="H80" i="50"/>
  <c r="Q52" i="31"/>
  <c r="K25" i="31"/>
  <c r="Q57" i="31"/>
  <c r="Q37" i="31"/>
  <c r="N85" i="31"/>
  <c r="K34" i="31"/>
  <c r="E34" i="31"/>
  <c r="K114" i="31"/>
  <c r="K85" i="31"/>
  <c r="E45" i="31"/>
  <c r="E85" i="31"/>
  <c r="Q45" i="31"/>
  <c r="Q31" i="31"/>
  <c r="H30" i="31"/>
  <c r="N93" i="31"/>
  <c r="Q93" i="31"/>
  <c r="H89" i="31"/>
  <c r="B78" i="50"/>
  <c r="H51" i="31"/>
  <c r="H90" i="31"/>
  <c r="K31" i="31"/>
  <c r="N45" i="31"/>
  <c r="N27" i="31"/>
  <c r="E89" i="31"/>
  <c r="Q34" i="31"/>
  <c r="Q92" i="31"/>
  <c r="N44" i="31"/>
  <c r="K93" i="31"/>
  <c r="Q89" i="31"/>
  <c r="Q51" i="31"/>
  <c r="Q50" i="31"/>
  <c r="N35" i="31"/>
  <c r="N90" i="31"/>
  <c r="E114" i="31"/>
  <c r="Q30" i="31"/>
  <c r="H85" i="31"/>
  <c r="B76" i="50"/>
  <c r="H34" i="31"/>
  <c r="H92" i="31"/>
  <c r="K39" i="31"/>
  <c r="E46" i="31"/>
  <c r="H49" i="31"/>
  <c r="Q106" i="31"/>
  <c r="H79" i="50"/>
  <c r="L79" i="50"/>
  <c r="N113" i="31"/>
  <c r="K92" i="31"/>
  <c r="Q36" i="31"/>
  <c r="N98" i="31"/>
  <c r="Q29" i="31"/>
  <c r="N46" i="31"/>
  <c r="E39" i="31"/>
  <c r="H29" i="31"/>
  <c r="N106" i="31"/>
  <c r="F79" i="50"/>
  <c r="E106" i="31"/>
  <c r="K98" i="31"/>
  <c r="E98" i="31"/>
  <c r="K29" i="31"/>
  <c r="Q49" i="31"/>
  <c r="Q44" i="31"/>
  <c r="Q46" i="31"/>
  <c r="Q98" i="31"/>
  <c r="H57" i="31"/>
  <c r="N24" i="31"/>
  <c r="H46" i="31"/>
  <c r="E92" i="31"/>
  <c r="H106" i="31"/>
  <c r="B79" i="50"/>
  <c r="Q39" i="31"/>
  <c r="N29" i="31"/>
  <c r="E57" i="31"/>
  <c r="E36" i="31"/>
  <c r="E44" i="31"/>
  <c r="H44" i="31"/>
  <c r="H36" i="31"/>
  <c r="N57" i="31"/>
  <c r="N39" i="31"/>
  <c r="K58" i="31"/>
  <c r="E24" i="31"/>
  <c r="N51" i="31"/>
  <c r="K45" i="31"/>
  <c r="N36" i="31"/>
  <c r="Q27" i="31"/>
  <c r="N55" i="31"/>
  <c r="E125" i="31"/>
  <c r="B82" i="50"/>
  <c r="Q125" i="31"/>
  <c r="H82" i="50"/>
  <c r="L82" i="50"/>
  <c r="F82" i="50"/>
  <c r="J82" i="50"/>
  <c r="K125" i="31"/>
  <c r="D82" i="50"/>
  <c r="E55" i="31"/>
  <c r="K50" i="31"/>
  <c r="D73" i="50"/>
  <c r="H54" i="31"/>
  <c r="Q58" i="31"/>
  <c r="N114" i="31"/>
  <c r="N50" i="31"/>
  <c r="E122" i="31"/>
  <c r="Q122" i="31"/>
  <c r="K122" i="31"/>
  <c r="H122" i="31"/>
  <c r="N122" i="31"/>
  <c r="Q55" i="31"/>
  <c r="K54" i="31"/>
  <c r="E54" i="31"/>
  <c r="K24" i="31"/>
  <c r="E120" i="31"/>
  <c r="H120" i="31"/>
  <c r="K120" i="31"/>
  <c r="Q120" i="31"/>
  <c r="N120" i="31"/>
  <c r="E51" i="31"/>
  <c r="H55" i="31"/>
  <c r="Q54" i="31"/>
  <c r="H27" i="31"/>
  <c r="Q24" i="31"/>
  <c r="E121" i="31"/>
  <c r="N121" i="31"/>
  <c r="Q121" i="31"/>
  <c r="K121" i="31"/>
  <c r="H121" i="31"/>
  <c r="E58" i="31"/>
  <c r="E50" i="31"/>
  <c r="Q90" i="31"/>
  <c r="N24" i="42"/>
  <c r="Q37" i="42"/>
  <c r="Q24" i="42"/>
  <c r="K27" i="42"/>
  <c r="K37" i="42"/>
  <c r="N37" i="42"/>
  <c r="K24" i="42"/>
  <c r="K133" i="42"/>
  <c r="K56" i="39"/>
  <c r="Q56" i="39"/>
  <c r="N56" i="39"/>
  <c r="K37" i="39"/>
  <c r="N37" i="39"/>
  <c r="H106" i="39"/>
  <c r="E106" i="39"/>
  <c r="N106" i="39"/>
  <c r="K106" i="39"/>
  <c r="Q106" i="39"/>
  <c r="H25" i="39"/>
  <c r="Q92" i="50"/>
  <c r="E25" i="39"/>
  <c r="H105" i="39"/>
  <c r="Q99" i="50"/>
  <c r="Q105" i="39"/>
  <c r="K105" i="39"/>
  <c r="S99" i="50"/>
  <c r="N105" i="39"/>
  <c r="E105" i="39"/>
  <c r="H27" i="39"/>
  <c r="E27" i="39"/>
  <c r="N38" i="39"/>
  <c r="Q38" i="39"/>
  <c r="K38" i="39"/>
  <c r="K57" i="39"/>
  <c r="Q57" i="39"/>
  <c r="N57" i="39"/>
  <c r="K46" i="39"/>
  <c r="Q46" i="39"/>
  <c r="N46" i="39"/>
  <c r="Q55" i="39"/>
  <c r="N55" i="39"/>
  <c r="K55" i="39"/>
  <c r="K36" i="39"/>
  <c r="N36" i="39"/>
  <c r="Q36" i="39"/>
  <c r="Q51" i="39"/>
  <c r="N51" i="39"/>
  <c r="K51" i="39"/>
  <c r="N49" i="39"/>
  <c r="Q44" i="39"/>
  <c r="K44" i="39"/>
  <c r="N44" i="39"/>
  <c r="K54" i="39"/>
  <c r="N54" i="39"/>
  <c r="Q54" i="39"/>
  <c r="N50" i="39"/>
  <c r="K50" i="39"/>
  <c r="Q50" i="39"/>
  <c r="Q122" i="39"/>
  <c r="N122" i="39"/>
  <c r="K122" i="39"/>
  <c r="N39" i="39"/>
  <c r="Q25" i="39"/>
  <c r="Q45" i="39"/>
  <c r="N45" i="39"/>
  <c r="K45" i="39"/>
  <c r="Q52" i="39"/>
  <c r="K52" i="39"/>
  <c r="N52" i="39"/>
  <c r="K43" i="39"/>
  <c r="Q43" i="39"/>
  <c r="N43" i="39"/>
  <c r="Q35" i="39"/>
  <c r="K35" i="39"/>
  <c r="N35" i="39"/>
  <c r="Q49" i="39"/>
  <c r="K49" i="39"/>
  <c r="K58" i="39"/>
  <c r="N58" i="39"/>
  <c r="Q58" i="39"/>
  <c r="K120" i="39"/>
  <c r="N120" i="39"/>
  <c r="Q120" i="39"/>
  <c r="K25" i="39"/>
  <c r="Q37" i="39"/>
  <c r="Q42" i="39"/>
  <c r="N42" i="39"/>
  <c r="K42" i="39"/>
  <c r="K34" i="39"/>
  <c r="Q34" i="39"/>
  <c r="N34" i="39"/>
  <c r="N53" i="39"/>
  <c r="Q53" i="39"/>
  <c r="K53" i="39"/>
  <c r="K121" i="39"/>
  <c r="Q121" i="39"/>
  <c r="N121" i="39"/>
  <c r="Q119" i="32"/>
  <c r="E119" i="32"/>
  <c r="K119" i="32"/>
  <c r="H119" i="32"/>
  <c r="N119" i="32"/>
  <c r="H120" i="32"/>
  <c r="E120" i="32"/>
  <c r="Q120" i="32"/>
  <c r="K120" i="32"/>
  <c r="N120" i="32"/>
  <c r="N121" i="32"/>
  <c r="H121" i="32"/>
  <c r="K121" i="32"/>
  <c r="E121" i="32"/>
  <c r="Q121" i="32"/>
  <c r="Q29" i="38"/>
  <c r="N29" i="38"/>
  <c r="K29" i="38"/>
  <c r="K27" i="38"/>
  <c r="N27" i="38"/>
  <c r="Q27" i="38"/>
  <c r="N31" i="38"/>
  <c r="Q31" i="38"/>
  <c r="K31" i="38"/>
  <c r="N24" i="38"/>
  <c r="Q24" i="38"/>
  <c r="K24" i="38"/>
  <c r="K45" i="38"/>
  <c r="Q45" i="38"/>
  <c r="N45" i="38"/>
  <c r="K25" i="38"/>
  <c r="Q25" i="38"/>
  <c r="N25" i="38"/>
  <c r="K26" i="38"/>
  <c r="N26" i="38"/>
  <c r="Q26" i="38"/>
  <c r="N105" i="38"/>
  <c r="Q105" i="38"/>
  <c r="K105" i="38"/>
  <c r="D33" i="50"/>
  <c r="N106" i="38"/>
  <c r="Q106" i="38"/>
  <c r="K106" i="38"/>
  <c r="Q28" i="38"/>
  <c r="K28" i="38"/>
  <c r="N28" i="38"/>
  <c r="H114" i="38"/>
  <c r="K114" i="38"/>
  <c r="N114" i="38"/>
  <c r="Q114" i="38"/>
  <c r="E114" i="38"/>
  <c r="N44" i="38"/>
  <c r="Q44" i="38"/>
  <c r="K44" i="38"/>
  <c r="N42" i="38"/>
  <c r="Q42" i="38"/>
  <c r="K42" i="38"/>
  <c r="N30" i="38"/>
  <c r="Q30" i="38"/>
  <c r="K30" i="38"/>
  <c r="N43" i="38"/>
  <c r="Q43" i="38"/>
  <c r="K43" i="38"/>
  <c r="K46" i="38"/>
  <c r="N46" i="38"/>
  <c r="Q46" i="38"/>
  <c r="K113" i="38"/>
  <c r="Q113" i="38"/>
  <c r="N113" i="38"/>
  <c r="E113" i="38"/>
  <c r="H113" i="38"/>
  <c r="Q39" i="42"/>
  <c r="K25" i="42"/>
  <c r="K106" i="42"/>
  <c r="Q106" i="42"/>
  <c r="N106" i="42"/>
  <c r="K50" i="42"/>
  <c r="Q50" i="42"/>
  <c r="N50" i="42"/>
  <c r="Q109" i="42"/>
  <c r="K109" i="42"/>
  <c r="N109" i="42"/>
  <c r="Q56" i="42"/>
  <c r="N56" i="42"/>
  <c r="K56" i="42"/>
  <c r="K58" i="42"/>
  <c r="Q58" i="42"/>
  <c r="N58" i="42"/>
  <c r="N39" i="42"/>
  <c r="N28" i="42"/>
  <c r="K113" i="42"/>
  <c r="Q113" i="42"/>
  <c r="N113" i="42"/>
  <c r="N30" i="42"/>
  <c r="K30" i="42"/>
  <c r="Q30" i="42"/>
  <c r="K51" i="42"/>
  <c r="Q51" i="42"/>
  <c r="N51" i="42"/>
  <c r="Q53" i="42"/>
  <c r="N53" i="42"/>
  <c r="K53" i="42"/>
  <c r="N25" i="42"/>
  <c r="Q34" i="42"/>
  <c r="N34" i="42"/>
  <c r="K34" i="42"/>
  <c r="Q25" i="42"/>
  <c r="K39" i="42"/>
  <c r="K121" i="42"/>
  <c r="Q121" i="42"/>
  <c r="N121" i="42"/>
  <c r="Q45" i="42"/>
  <c r="N45" i="42"/>
  <c r="K45" i="42"/>
  <c r="K54" i="42"/>
  <c r="Q54" i="42"/>
  <c r="N54" i="42"/>
  <c r="Q43" i="42"/>
  <c r="K43" i="42"/>
  <c r="N43" i="42"/>
  <c r="K49" i="42"/>
  <c r="Q49" i="42"/>
  <c r="K28" i="42"/>
  <c r="Q29" i="42"/>
  <c r="K29" i="42"/>
  <c r="K120" i="42"/>
  <c r="N120" i="42"/>
  <c r="Q120" i="42"/>
  <c r="N26" i="42"/>
  <c r="Q26" i="42"/>
  <c r="K26" i="42"/>
  <c r="N44" i="42"/>
  <c r="K44" i="42"/>
  <c r="Q44" i="42"/>
  <c r="K38" i="42"/>
  <c r="Q38" i="42"/>
  <c r="N38" i="42"/>
  <c r="K52" i="42"/>
  <c r="Q52" i="42"/>
  <c r="N52" i="42"/>
  <c r="N29" i="42"/>
  <c r="Q28" i="42"/>
  <c r="N49" i="42"/>
  <c r="K122" i="42"/>
  <c r="N122" i="42"/>
  <c r="Q122" i="42"/>
  <c r="Q31" i="42"/>
  <c r="N31" i="42"/>
  <c r="K31" i="42"/>
  <c r="Q46" i="42"/>
  <c r="N46" i="42"/>
  <c r="K46" i="42"/>
  <c r="N35" i="42"/>
  <c r="K35" i="42"/>
  <c r="Q35" i="42"/>
  <c r="K57" i="42"/>
  <c r="Q57" i="42"/>
  <c r="N57" i="42"/>
  <c r="K105" i="42"/>
  <c r="Q105" i="42"/>
  <c r="N105" i="42"/>
  <c r="N114" i="42"/>
  <c r="K114" i="42"/>
  <c r="Q114" i="42"/>
  <c r="N42" i="42"/>
  <c r="K42" i="42"/>
  <c r="Q42" i="42"/>
  <c r="N36" i="42"/>
  <c r="K36" i="42"/>
  <c r="Q36" i="42"/>
  <c r="N55" i="42"/>
  <c r="K55" i="42"/>
  <c r="Q55" i="42"/>
  <c r="Q27" i="42"/>
  <c r="Q54" i="34"/>
  <c r="K54" i="34"/>
  <c r="N54" i="34"/>
  <c r="Q43" i="34"/>
  <c r="K43" i="34"/>
  <c r="N43" i="34"/>
  <c r="N37" i="34"/>
  <c r="K37" i="34"/>
  <c r="Q37" i="34"/>
  <c r="K90" i="34"/>
  <c r="N90" i="34"/>
  <c r="Q90" i="34"/>
  <c r="K46" i="34"/>
  <c r="Q46" i="34"/>
  <c r="N46" i="34"/>
  <c r="K36" i="34"/>
  <c r="Q36" i="34"/>
  <c r="N36" i="34"/>
  <c r="N89" i="34"/>
  <c r="K89" i="34"/>
  <c r="Q89" i="34"/>
  <c r="Q122" i="34"/>
  <c r="K122" i="34"/>
  <c r="N122" i="34"/>
  <c r="Q92" i="34"/>
  <c r="K92" i="34"/>
  <c r="N92" i="34"/>
  <c r="Q55" i="34"/>
  <c r="N55" i="34"/>
  <c r="K55" i="34"/>
  <c r="Q35" i="34"/>
  <c r="N35" i="34"/>
  <c r="K35" i="34"/>
  <c r="Q57" i="34"/>
  <c r="N57" i="34"/>
  <c r="K57" i="34"/>
  <c r="Q58" i="34"/>
  <c r="N58" i="34"/>
  <c r="K58" i="34"/>
  <c r="Q86" i="34"/>
  <c r="N86" i="34"/>
  <c r="K86" i="34"/>
  <c r="H92" i="34"/>
  <c r="Q38" i="34"/>
  <c r="N38" i="34"/>
  <c r="K38" i="34"/>
  <c r="Q93" i="34"/>
  <c r="N93" i="34"/>
  <c r="K93" i="34"/>
  <c r="Q97" i="34"/>
  <c r="N97" i="34"/>
  <c r="K97" i="34"/>
  <c r="K56" i="34"/>
  <c r="Q56" i="34"/>
  <c r="N56" i="34"/>
  <c r="N120" i="34"/>
  <c r="K120" i="34"/>
  <c r="Q120" i="34"/>
  <c r="Q49" i="34"/>
  <c r="N49" i="34"/>
  <c r="K49" i="34"/>
  <c r="Q98" i="34"/>
  <c r="N98" i="34"/>
  <c r="K98" i="34"/>
  <c r="K121" i="34"/>
  <c r="N121" i="34"/>
  <c r="Q121" i="34"/>
  <c r="Q34" i="34"/>
  <c r="K34" i="34"/>
  <c r="N34" i="34"/>
  <c r="Q53" i="34"/>
  <c r="K53" i="34"/>
  <c r="N53" i="34"/>
  <c r="Q85" i="34"/>
  <c r="N85" i="34"/>
  <c r="K85" i="34"/>
  <c r="K42" i="34"/>
  <c r="N42" i="34"/>
  <c r="Q42" i="34"/>
  <c r="E92" i="34"/>
  <c r="K52" i="34"/>
  <c r="N52" i="34"/>
  <c r="Q52" i="34"/>
  <c r="Q44" i="34"/>
  <c r="K44" i="34"/>
  <c r="N44" i="34"/>
  <c r="N51" i="34"/>
  <c r="K51" i="34"/>
  <c r="Q51" i="34"/>
  <c r="N39" i="34"/>
  <c r="K39" i="34"/>
  <c r="Q39" i="34"/>
  <c r="Q50" i="34"/>
  <c r="N50" i="34"/>
  <c r="K50" i="34"/>
  <c r="K84" i="34"/>
  <c r="Q84" i="34"/>
  <c r="N84" i="34"/>
  <c r="Q45" i="34"/>
  <c r="N45" i="34"/>
  <c r="K45" i="34"/>
  <c r="K94" i="34"/>
  <c r="Q94" i="34"/>
  <c r="N94" i="34"/>
  <c r="H120" i="43"/>
  <c r="Q121" i="50"/>
  <c r="E120" i="43"/>
  <c r="H121" i="43"/>
  <c r="E121" i="43"/>
  <c r="H122" i="43"/>
  <c r="E122" i="43"/>
  <c r="H42" i="42"/>
  <c r="E42" i="42"/>
  <c r="E27" i="42"/>
  <c r="H27" i="42"/>
  <c r="H30" i="42"/>
  <c r="E30" i="42"/>
  <c r="E113" i="42"/>
  <c r="H113" i="42"/>
  <c r="H44" i="42"/>
  <c r="E44" i="42"/>
  <c r="H37" i="42"/>
  <c r="E37" i="42"/>
  <c r="H54" i="42"/>
  <c r="E54" i="42"/>
  <c r="H49" i="42"/>
  <c r="E49" i="42"/>
  <c r="H57" i="42"/>
  <c r="E57" i="42"/>
  <c r="H45" i="42"/>
  <c r="E45" i="42"/>
  <c r="H56" i="42"/>
  <c r="E56" i="42"/>
  <c r="E50" i="42"/>
  <c r="H50" i="42"/>
  <c r="H35" i="42"/>
  <c r="E35" i="42"/>
  <c r="H121" i="42"/>
  <c r="E121" i="42"/>
  <c r="H29" i="42"/>
  <c r="E29" i="42"/>
  <c r="H36" i="42"/>
  <c r="E36" i="42"/>
  <c r="H120" i="42"/>
  <c r="E120" i="42"/>
  <c r="H31" i="42"/>
  <c r="E31" i="42"/>
  <c r="H43" i="42"/>
  <c r="E43" i="42"/>
  <c r="H39" i="42"/>
  <c r="E39" i="42"/>
  <c r="H51" i="42"/>
  <c r="E51" i="42"/>
  <c r="E58" i="42"/>
  <c r="H58" i="42"/>
  <c r="H24" i="42"/>
  <c r="E24" i="42"/>
  <c r="H38" i="42"/>
  <c r="E38" i="42"/>
  <c r="H105" i="42"/>
  <c r="E105" i="42"/>
  <c r="H25" i="42"/>
  <c r="E25" i="42"/>
  <c r="H52" i="42"/>
  <c r="E52" i="42"/>
  <c r="H106" i="42"/>
  <c r="E106" i="42"/>
  <c r="H114" i="42"/>
  <c r="E114" i="42"/>
  <c r="H122" i="42"/>
  <c r="E122" i="42"/>
  <c r="H28" i="42"/>
  <c r="E28" i="42"/>
  <c r="H55" i="42"/>
  <c r="E55" i="42"/>
  <c r="E109" i="42"/>
  <c r="H109" i="42"/>
  <c r="H26" i="42"/>
  <c r="E26" i="42"/>
  <c r="H46" i="42"/>
  <c r="E46" i="42"/>
  <c r="H34" i="42"/>
  <c r="E34" i="42"/>
  <c r="H53" i="42"/>
  <c r="E53" i="42"/>
  <c r="E55" i="40"/>
  <c r="H55" i="40"/>
  <c r="H28" i="40"/>
  <c r="E28" i="40"/>
  <c r="H53" i="40"/>
  <c r="E53" i="40"/>
  <c r="H52" i="40"/>
  <c r="E52" i="40"/>
  <c r="H39" i="40"/>
  <c r="E39" i="40"/>
  <c r="H85" i="40"/>
  <c r="E44" i="40"/>
  <c r="H44" i="40"/>
  <c r="H30" i="40"/>
  <c r="E30" i="40"/>
  <c r="E24" i="40"/>
  <c r="H24" i="40"/>
  <c r="H56" i="40"/>
  <c r="E56" i="40"/>
  <c r="H50" i="40"/>
  <c r="E50" i="40"/>
  <c r="H37" i="40"/>
  <c r="E37" i="40"/>
  <c r="H86" i="40"/>
  <c r="H122" i="40"/>
  <c r="E122" i="40"/>
  <c r="H25" i="40"/>
  <c r="E25" i="40"/>
  <c r="H27" i="40"/>
  <c r="E27" i="40"/>
  <c r="H51" i="40"/>
  <c r="E51" i="40"/>
  <c r="H58" i="40"/>
  <c r="E58" i="40"/>
  <c r="H35" i="40"/>
  <c r="E35" i="40"/>
  <c r="E38" i="40"/>
  <c r="H38" i="40"/>
  <c r="H84" i="40"/>
  <c r="H120" i="40"/>
  <c r="E120" i="40"/>
  <c r="H42" i="40"/>
  <c r="E42" i="40"/>
  <c r="H34" i="40"/>
  <c r="E34" i="40"/>
  <c r="H98" i="40"/>
  <c r="H54" i="40"/>
  <c r="E54" i="40"/>
  <c r="H121" i="40"/>
  <c r="E121" i="40"/>
  <c r="H45" i="40"/>
  <c r="E45" i="40"/>
  <c r="H49" i="40"/>
  <c r="E49" i="40"/>
  <c r="H36" i="40"/>
  <c r="E36" i="40"/>
  <c r="H43" i="40"/>
  <c r="E43" i="40"/>
  <c r="H29" i="40"/>
  <c r="E29" i="40"/>
  <c r="H97" i="40"/>
  <c r="H106" i="40"/>
  <c r="E106" i="40"/>
  <c r="H31" i="40"/>
  <c r="E31" i="40"/>
  <c r="H26" i="40"/>
  <c r="E26" i="40"/>
  <c r="H57" i="40"/>
  <c r="E57" i="40"/>
  <c r="E105" i="40"/>
  <c r="H105" i="40"/>
  <c r="Q37" i="50"/>
  <c r="H46" i="40"/>
  <c r="E46" i="40"/>
  <c r="E54" i="39"/>
  <c r="H54" i="39"/>
  <c r="H46" i="39"/>
  <c r="E46" i="39"/>
  <c r="H37" i="39"/>
  <c r="E37" i="39"/>
  <c r="H51" i="39"/>
  <c r="E51" i="39"/>
  <c r="E50" i="39"/>
  <c r="H50" i="39"/>
  <c r="H98" i="39"/>
  <c r="H58" i="39"/>
  <c r="E58" i="39"/>
  <c r="H43" i="39"/>
  <c r="E43" i="39"/>
  <c r="H35" i="39"/>
  <c r="E35" i="39"/>
  <c r="H120" i="39"/>
  <c r="E120" i="39"/>
  <c r="E42" i="39"/>
  <c r="H42" i="39"/>
  <c r="H34" i="39"/>
  <c r="E34" i="39"/>
  <c r="H86" i="39"/>
  <c r="H57" i="39"/>
  <c r="E57" i="39"/>
  <c r="H49" i="39"/>
  <c r="E49" i="39"/>
  <c r="E39" i="39"/>
  <c r="H39" i="39"/>
  <c r="H53" i="39"/>
  <c r="E53" i="39"/>
  <c r="E56" i="39"/>
  <c r="H56" i="39"/>
  <c r="H97" i="39"/>
  <c r="E45" i="39"/>
  <c r="H45" i="39"/>
  <c r="E38" i="39"/>
  <c r="H38" i="39"/>
  <c r="H52" i="39"/>
  <c r="E52" i="39"/>
  <c r="H121" i="39"/>
  <c r="E121" i="39"/>
  <c r="H36" i="39"/>
  <c r="E36" i="39"/>
  <c r="H122" i="39"/>
  <c r="E122" i="39"/>
  <c r="H85" i="39"/>
  <c r="E44" i="39"/>
  <c r="H44" i="39"/>
  <c r="H84" i="39"/>
  <c r="Q96" i="50"/>
  <c r="E55" i="39"/>
  <c r="H55" i="39"/>
  <c r="H85" i="38"/>
  <c r="E43" i="38"/>
  <c r="H43" i="38"/>
  <c r="E30" i="38"/>
  <c r="H30" i="38"/>
  <c r="H106" i="38"/>
  <c r="E106" i="38"/>
  <c r="H46" i="38"/>
  <c r="E46" i="38"/>
  <c r="H28" i="38"/>
  <c r="E28" i="38"/>
  <c r="H86" i="38"/>
  <c r="H29" i="38"/>
  <c r="E29" i="38"/>
  <c r="H26" i="38"/>
  <c r="E26" i="38"/>
  <c r="H25" i="38"/>
  <c r="E25" i="38"/>
  <c r="E31" i="38"/>
  <c r="H31" i="38"/>
  <c r="H44" i="38"/>
  <c r="E44" i="38"/>
  <c r="H42" i="38"/>
  <c r="E42" i="38"/>
  <c r="H24" i="38"/>
  <c r="E24" i="38"/>
  <c r="H84" i="38"/>
  <c r="H45" i="38"/>
  <c r="E45" i="38"/>
  <c r="E27" i="38"/>
  <c r="H27" i="38"/>
  <c r="H105" i="38"/>
  <c r="B37" i="50"/>
  <c r="E105" i="38"/>
  <c r="E55" i="34"/>
  <c r="H55" i="34"/>
  <c r="H120" i="34"/>
  <c r="Q19" i="50"/>
  <c r="E120" i="34"/>
  <c r="E51" i="34"/>
  <c r="H51" i="34"/>
  <c r="H121" i="34"/>
  <c r="E121" i="34"/>
  <c r="H50" i="34"/>
  <c r="E50" i="34"/>
  <c r="H52" i="34"/>
  <c r="E52" i="34"/>
  <c r="H122" i="34"/>
  <c r="E122" i="34"/>
  <c r="H37" i="34"/>
  <c r="E37" i="34"/>
  <c r="H35" i="34"/>
  <c r="E35" i="34"/>
  <c r="H39" i="34"/>
  <c r="E39" i="34"/>
  <c r="H53" i="34"/>
  <c r="E53" i="34"/>
  <c r="H46" i="34"/>
  <c r="E46" i="34"/>
  <c r="E38" i="34"/>
  <c r="H38" i="34"/>
  <c r="H56" i="34"/>
  <c r="E56" i="34"/>
  <c r="H84" i="34"/>
  <c r="E84" i="34"/>
  <c r="E36" i="34"/>
  <c r="H36" i="34"/>
  <c r="H42" i="34"/>
  <c r="E42" i="34"/>
  <c r="H49" i="34"/>
  <c r="E49" i="34"/>
  <c r="H45" i="34"/>
  <c r="E45" i="34"/>
  <c r="H86" i="34"/>
  <c r="E86" i="34"/>
  <c r="H57" i="34"/>
  <c r="E57" i="34"/>
  <c r="H58" i="34"/>
  <c r="E58" i="34"/>
  <c r="H97" i="34"/>
  <c r="E97" i="34"/>
  <c r="E43" i="34"/>
  <c r="H43" i="34"/>
  <c r="H34" i="34"/>
  <c r="E34" i="34"/>
  <c r="E44" i="34"/>
  <c r="H44" i="34"/>
  <c r="E54" i="34"/>
  <c r="H54" i="34"/>
  <c r="E85" i="34"/>
  <c r="H85" i="34"/>
  <c r="H98" i="34"/>
  <c r="E98" i="34"/>
  <c r="E55" i="33"/>
  <c r="H55" i="33"/>
  <c r="E42" i="33"/>
  <c r="H42" i="33"/>
  <c r="E37" i="33"/>
  <c r="H37" i="33"/>
  <c r="E34" i="33"/>
  <c r="H34" i="33"/>
  <c r="H121" i="33"/>
  <c r="E121" i="33"/>
  <c r="E51" i="33"/>
  <c r="H51" i="33"/>
  <c r="E105" i="33"/>
  <c r="H105" i="33"/>
  <c r="Q79" i="50"/>
  <c r="H97" i="33"/>
  <c r="E97" i="33"/>
  <c r="H120" i="33"/>
  <c r="E120" i="33"/>
  <c r="H39" i="33"/>
  <c r="E39" i="33"/>
  <c r="H50" i="33"/>
  <c r="E50" i="33"/>
  <c r="H84" i="33"/>
  <c r="Q76" i="50"/>
  <c r="E84" i="33"/>
  <c r="E58" i="33"/>
  <c r="H58" i="33"/>
  <c r="E54" i="33"/>
  <c r="H54" i="33"/>
  <c r="H106" i="33"/>
  <c r="E106" i="33"/>
  <c r="H46" i="33"/>
  <c r="E46" i="33"/>
  <c r="H36" i="33"/>
  <c r="E36" i="33"/>
  <c r="H52" i="33"/>
  <c r="E52" i="33"/>
  <c r="E44" i="33"/>
  <c r="H44" i="33"/>
  <c r="H49" i="33"/>
  <c r="E49" i="33"/>
  <c r="H98" i="33"/>
  <c r="E98" i="33"/>
  <c r="H35" i="33"/>
  <c r="E35" i="33"/>
  <c r="H86" i="33"/>
  <c r="E86" i="33"/>
  <c r="H53" i="33"/>
  <c r="E53" i="33"/>
  <c r="H45" i="33"/>
  <c r="E45" i="33"/>
  <c r="H56" i="33"/>
  <c r="E56" i="33"/>
  <c r="E43" i="33"/>
  <c r="H43" i="33"/>
  <c r="H57" i="33"/>
  <c r="E57" i="33"/>
  <c r="E122" i="33"/>
  <c r="H122" i="33"/>
  <c r="E38" i="33"/>
  <c r="H38" i="33"/>
  <c r="H85" i="33"/>
  <c r="E85" i="33"/>
  <c r="Q41" i="8"/>
  <c r="Q39" i="8"/>
  <c r="J45" i="8"/>
  <c r="F98" i="50"/>
  <c r="U118" i="50"/>
  <c r="U101" i="50"/>
  <c r="H78" i="50"/>
  <c r="H118" i="50"/>
  <c r="W121" i="50"/>
  <c r="U80" i="50"/>
  <c r="H58" i="50"/>
  <c r="W118" i="50"/>
  <c r="W98" i="50"/>
  <c r="Y74" i="50"/>
  <c r="V119" i="50"/>
  <c r="W116" i="50"/>
  <c r="F92" i="50"/>
  <c r="J92" i="50"/>
  <c r="U98" i="50"/>
  <c r="F72" i="50"/>
  <c r="W99" i="50"/>
  <c r="U13" i="50"/>
  <c r="V15" i="50"/>
  <c r="F96" i="50"/>
  <c r="U34" i="50"/>
  <c r="F121" i="50"/>
  <c r="J121" i="50"/>
  <c r="F119" i="50"/>
  <c r="H120" i="50"/>
  <c r="H92" i="50"/>
  <c r="L92" i="50"/>
  <c r="U99" i="50"/>
  <c r="Y99" i="50"/>
  <c r="U115" i="50"/>
  <c r="Q133" i="42"/>
  <c r="W95" i="50"/>
  <c r="X97" i="50"/>
  <c r="H115" i="50"/>
  <c r="I118" i="50"/>
  <c r="F100" i="50"/>
  <c r="W78" i="50"/>
  <c r="F99" i="50"/>
  <c r="F33" i="50"/>
  <c r="F81" i="50"/>
  <c r="H119" i="50"/>
  <c r="W119" i="50"/>
  <c r="AA119" i="50"/>
  <c r="H93" i="50"/>
  <c r="F38" i="50"/>
  <c r="U79" i="50"/>
  <c r="W72" i="50"/>
  <c r="F75" i="50"/>
  <c r="G79" i="50"/>
  <c r="H100" i="50"/>
  <c r="U72" i="50"/>
  <c r="Y72" i="50"/>
  <c r="Q134" i="45"/>
  <c r="Q137" i="45"/>
  <c r="G28" i="46"/>
  <c r="K29" i="8"/>
  <c r="K28" i="8"/>
  <c r="K27" i="8"/>
  <c r="K26" i="8"/>
  <c r="V118" i="50"/>
  <c r="M58" i="8"/>
  <c r="E54" i="8"/>
  <c r="X99" i="50"/>
  <c r="Y52" i="50"/>
  <c r="L14" i="50"/>
  <c r="V117" i="50"/>
  <c r="G77" i="50"/>
  <c r="W79" i="50"/>
  <c r="AA79" i="50"/>
  <c r="U112" i="50"/>
  <c r="F78" i="50"/>
  <c r="G78" i="50"/>
  <c r="L80" i="50"/>
  <c r="F95" i="50"/>
  <c r="W96" i="50"/>
  <c r="H116" i="50"/>
  <c r="H81" i="50"/>
  <c r="H73" i="50"/>
  <c r="F73" i="50"/>
  <c r="W73" i="50"/>
  <c r="AA80" i="50"/>
  <c r="AA100" i="50"/>
  <c r="H112" i="50"/>
  <c r="W113" i="50"/>
  <c r="U92" i="50"/>
  <c r="W93" i="50"/>
  <c r="W101" i="50"/>
  <c r="H72" i="50"/>
  <c r="U78" i="50"/>
  <c r="W81" i="50"/>
  <c r="F101" i="50"/>
  <c r="H113" i="50"/>
  <c r="U121" i="50"/>
  <c r="Y121" i="50"/>
  <c r="U95" i="50"/>
  <c r="V99" i="50"/>
  <c r="Q133" i="41"/>
  <c r="W10" i="50"/>
  <c r="H31" i="50"/>
  <c r="F118" i="50"/>
  <c r="U116" i="50"/>
  <c r="V116" i="50"/>
  <c r="F115" i="50"/>
  <c r="G117" i="50"/>
  <c r="U81" i="50"/>
  <c r="U113" i="50"/>
  <c r="F57" i="50"/>
  <c r="U93" i="50"/>
  <c r="U73" i="50"/>
  <c r="H121" i="50"/>
  <c r="F113" i="50"/>
  <c r="F112" i="50"/>
  <c r="W112" i="50"/>
  <c r="W50" i="50"/>
  <c r="H75" i="50"/>
  <c r="H95" i="50"/>
  <c r="L95" i="50"/>
  <c r="M97" i="50"/>
  <c r="Q134" i="43"/>
  <c r="F76" i="50"/>
  <c r="G76" i="50"/>
  <c r="U54" i="50"/>
  <c r="W92" i="50"/>
  <c r="F80" i="50"/>
  <c r="L34" i="50"/>
  <c r="W115" i="50"/>
  <c r="U75" i="50"/>
  <c r="V76" i="50"/>
  <c r="F93" i="50"/>
  <c r="W37" i="50"/>
  <c r="W34" i="50"/>
  <c r="L120" i="50"/>
  <c r="U51" i="50"/>
  <c r="Y51" i="50"/>
  <c r="H39" i="50"/>
  <c r="L39" i="50"/>
  <c r="J110" i="50"/>
  <c r="W75" i="50"/>
  <c r="X76" i="50"/>
  <c r="J96" i="50"/>
  <c r="Y96" i="50"/>
  <c r="L98" i="50"/>
  <c r="E98" i="50"/>
  <c r="J100" i="50"/>
  <c r="Y120" i="50"/>
  <c r="L76" i="50"/>
  <c r="E97" i="50"/>
  <c r="J98" i="50"/>
  <c r="Y119" i="50"/>
  <c r="T117" i="50"/>
  <c r="AA98" i="50"/>
  <c r="Y100" i="50"/>
  <c r="L78" i="50"/>
  <c r="Y76" i="50"/>
  <c r="J99" i="50"/>
  <c r="AA118" i="50"/>
  <c r="T118" i="50"/>
  <c r="L100" i="50"/>
  <c r="Y98" i="50"/>
  <c r="Y79" i="50"/>
  <c r="J79" i="50"/>
  <c r="AA72" i="50"/>
  <c r="T76" i="50"/>
  <c r="AA76" i="50"/>
  <c r="AA120" i="50"/>
  <c r="Y80" i="50"/>
  <c r="E99" i="50"/>
  <c r="L99" i="50"/>
  <c r="Q73" i="50"/>
  <c r="B58" i="50"/>
  <c r="D59" i="50"/>
  <c r="B73" i="50"/>
  <c r="S73" i="50"/>
  <c r="S34" i="50"/>
  <c r="D121" i="50"/>
  <c r="D112" i="50"/>
  <c r="Q118" i="50"/>
  <c r="S116" i="50"/>
  <c r="D96" i="50"/>
  <c r="L70" i="50"/>
  <c r="AA70" i="50"/>
  <c r="B93" i="50"/>
  <c r="J102" i="50"/>
  <c r="L102" i="50"/>
  <c r="B75" i="50"/>
  <c r="C76" i="50"/>
  <c r="AA110" i="50"/>
  <c r="D75" i="50"/>
  <c r="E76" i="50"/>
  <c r="AA74" i="50"/>
  <c r="T119" i="50"/>
  <c r="D81" i="50"/>
  <c r="S81" i="50"/>
  <c r="D101" i="50"/>
  <c r="D31" i="50"/>
  <c r="D113" i="50"/>
  <c r="B119" i="50"/>
  <c r="S112" i="50"/>
  <c r="Q50" i="50"/>
  <c r="S38" i="50"/>
  <c r="B95" i="50"/>
  <c r="C99" i="50"/>
  <c r="Y70" i="50"/>
  <c r="S75" i="50"/>
  <c r="K134" i="43"/>
  <c r="B72" i="50"/>
  <c r="B81" i="50"/>
  <c r="S113" i="50"/>
  <c r="Q36" i="50"/>
  <c r="D115" i="50"/>
  <c r="J90" i="50"/>
  <c r="J114" i="50"/>
  <c r="Y110" i="50"/>
  <c r="L110" i="50"/>
  <c r="Q81" i="50"/>
  <c r="AA99" i="50"/>
  <c r="Q112" i="50"/>
  <c r="Q95" i="50"/>
  <c r="R98" i="50"/>
  <c r="K133" i="41"/>
  <c r="S93" i="50"/>
  <c r="Q14" i="50"/>
  <c r="Q93" i="50"/>
  <c r="Q101" i="50"/>
  <c r="S101" i="50"/>
  <c r="D72" i="50"/>
  <c r="Q78" i="50"/>
  <c r="S78" i="50"/>
  <c r="B101" i="50"/>
  <c r="B113" i="50"/>
  <c r="B118" i="50"/>
  <c r="J120" i="50"/>
  <c r="S121" i="50"/>
  <c r="S95" i="50"/>
  <c r="Y90" i="50"/>
  <c r="Q75" i="50"/>
  <c r="R76" i="50"/>
  <c r="J116" i="50"/>
  <c r="Q116" i="50"/>
  <c r="Q115" i="50"/>
  <c r="R119" i="50"/>
  <c r="B115" i="50"/>
  <c r="L74" i="50"/>
  <c r="L94" i="50"/>
  <c r="I145" i="50"/>
  <c r="D93" i="50"/>
  <c r="S53" i="50"/>
  <c r="T57" i="50"/>
  <c r="S92" i="50"/>
  <c r="D118" i="50"/>
  <c r="B80" i="50"/>
  <c r="AA114" i="50"/>
  <c r="Y94" i="50"/>
  <c r="L114" i="50"/>
  <c r="L90" i="50"/>
  <c r="I185" i="50"/>
  <c r="L16" i="50"/>
  <c r="V17" i="50"/>
  <c r="AA18" i="50"/>
  <c r="AA17" i="50"/>
  <c r="G16" i="50"/>
  <c r="L52" i="50"/>
  <c r="L54" i="50"/>
  <c r="C15" i="50"/>
  <c r="I16" i="50"/>
  <c r="L11" i="50"/>
  <c r="J11" i="50"/>
  <c r="U56" i="50"/>
  <c r="Y56" i="50"/>
  <c r="W53" i="50"/>
  <c r="S50" i="50"/>
  <c r="W51" i="50"/>
  <c r="S51" i="50"/>
  <c r="U50" i="50"/>
  <c r="H51" i="50"/>
  <c r="D58" i="50"/>
  <c r="L58" i="50"/>
  <c r="H53" i="50"/>
  <c r="I54" i="50"/>
  <c r="F59" i="50"/>
  <c r="H50" i="50"/>
  <c r="D51" i="50"/>
  <c r="D57" i="50"/>
  <c r="F51" i="50"/>
  <c r="B57" i="50"/>
  <c r="U31" i="50"/>
  <c r="S36" i="50"/>
  <c r="W36" i="50"/>
  <c r="Q38" i="50"/>
  <c r="U37" i="50"/>
  <c r="S39" i="50"/>
  <c r="Q39" i="50"/>
  <c r="Q33" i="50"/>
  <c r="R37" i="50"/>
  <c r="U36" i="50"/>
  <c r="H134" i="39"/>
  <c r="K134" i="39"/>
  <c r="K137" i="39"/>
  <c r="F16" i="46"/>
  <c r="N134" i="39"/>
  <c r="N137" i="39"/>
  <c r="F17" i="46"/>
  <c r="B31" i="50"/>
  <c r="F19" i="50"/>
  <c r="F22" i="50"/>
  <c r="J10" i="50"/>
  <c r="H132" i="32"/>
  <c r="H135" i="32"/>
  <c r="E5" i="46"/>
  <c r="B51" i="50"/>
  <c r="S10" i="50"/>
  <c r="D50" i="50"/>
  <c r="S31" i="50"/>
  <c r="K136" i="42"/>
  <c r="E26" i="46"/>
  <c r="S33" i="50"/>
  <c r="D53" i="50"/>
  <c r="E56" i="50"/>
  <c r="B50" i="50"/>
  <c r="B33" i="50"/>
  <c r="C36" i="50"/>
  <c r="B34" i="50"/>
  <c r="J34" i="50"/>
  <c r="Q30" i="50"/>
  <c r="Q31" i="50"/>
  <c r="D38" i="50"/>
  <c r="Y8" i="50"/>
  <c r="B53" i="50"/>
  <c r="E34" i="50"/>
  <c r="S30" i="50"/>
  <c r="E36" i="50"/>
  <c r="AA58" i="50"/>
  <c r="S54" i="50"/>
  <c r="Q10" i="50"/>
  <c r="Y37" i="50"/>
  <c r="L56" i="50"/>
  <c r="D37" i="50"/>
  <c r="E37" i="50"/>
  <c r="B30" i="50"/>
  <c r="B59" i="50"/>
  <c r="C14" i="50"/>
  <c r="L48" i="50"/>
  <c r="AA32" i="50"/>
  <c r="E35" i="50"/>
  <c r="Q34" i="50"/>
  <c r="D30" i="50"/>
  <c r="Q53" i="50"/>
  <c r="Q54" i="50"/>
  <c r="B38" i="50"/>
  <c r="Q16" i="50"/>
  <c r="Y32" i="50"/>
  <c r="J28" i="50"/>
  <c r="J39" i="50"/>
  <c r="Y57" i="50"/>
  <c r="AA37" i="50"/>
  <c r="G34" i="50"/>
  <c r="G35" i="50"/>
  <c r="AA56" i="50"/>
  <c r="Y58" i="50"/>
  <c r="H37" i="50"/>
  <c r="F50" i="50"/>
  <c r="U10" i="50"/>
  <c r="U14" i="50"/>
  <c r="W33" i="50"/>
  <c r="J52" i="50"/>
  <c r="W54" i="50"/>
  <c r="N134" i="45"/>
  <c r="N137" i="45"/>
  <c r="G27" i="46"/>
  <c r="H33" i="50"/>
  <c r="G36" i="50"/>
  <c r="J36" i="50"/>
  <c r="W16" i="50"/>
  <c r="H30" i="50"/>
  <c r="H38" i="50"/>
  <c r="U59" i="50"/>
  <c r="Y48" i="50"/>
  <c r="W31" i="50"/>
  <c r="W30" i="50"/>
  <c r="U53" i="50"/>
  <c r="H57" i="50"/>
  <c r="J48" i="50"/>
  <c r="AA52" i="50"/>
  <c r="AA57" i="50"/>
  <c r="F58" i="50"/>
  <c r="F30" i="50"/>
  <c r="W38" i="50"/>
  <c r="U39" i="50"/>
  <c r="L32" i="50"/>
  <c r="F37" i="50"/>
  <c r="U33" i="50"/>
  <c r="H59" i="50"/>
  <c r="U38" i="50"/>
  <c r="W39" i="50"/>
  <c r="AA59" i="50"/>
  <c r="I17" i="50"/>
  <c r="J56" i="50"/>
  <c r="AA28" i="50"/>
  <c r="I15" i="50"/>
  <c r="Y28" i="50"/>
  <c r="F31" i="50"/>
  <c r="J32" i="50"/>
  <c r="W13" i="50"/>
  <c r="X15" i="50"/>
  <c r="U30" i="50"/>
  <c r="L28" i="50"/>
  <c r="F53" i="50"/>
  <c r="L36" i="50"/>
  <c r="AA48" i="50"/>
  <c r="S14" i="50"/>
  <c r="S13" i="50"/>
  <c r="S11" i="50"/>
  <c r="U11" i="50"/>
  <c r="S16" i="50"/>
  <c r="AA12" i="50"/>
  <c r="Y12" i="50"/>
  <c r="W11" i="50"/>
  <c r="W19" i="50"/>
  <c r="S19" i="50"/>
  <c r="Q13" i="50"/>
  <c r="W14" i="50"/>
  <c r="U16" i="50"/>
  <c r="V16" i="50"/>
  <c r="Q11" i="50"/>
  <c r="U19" i="50"/>
  <c r="Y18" i="50"/>
  <c r="E15" i="50"/>
  <c r="L13" i="50"/>
  <c r="E17" i="50"/>
  <c r="B19" i="50"/>
  <c r="J16" i="50"/>
  <c r="C16" i="50"/>
  <c r="D19" i="50"/>
  <c r="G15" i="50"/>
  <c r="E16" i="50"/>
  <c r="H19" i="50"/>
  <c r="L10" i="50"/>
  <c r="E14" i="50"/>
  <c r="G14" i="50"/>
  <c r="K132" i="32"/>
  <c r="K135" i="32"/>
  <c r="E6" i="46"/>
  <c r="J13" i="50"/>
  <c r="I14" i="50"/>
  <c r="G17" i="50"/>
  <c r="Q45" i="8"/>
  <c r="N134" i="43"/>
  <c r="N137" i="43"/>
  <c r="F27" i="46"/>
  <c r="N133" i="42"/>
  <c r="N136" i="42"/>
  <c r="E27" i="46"/>
  <c r="K133" i="31"/>
  <c r="K136" i="31"/>
  <c r="D6" i="46"/>
  <c r="K137" i="45"/>
  <c r="G26" i="46"/>
  <c r="H134" i="45"/>
  <c r="H137" i="45"/>
  <c r="G25" i="46"/>
  <c r="H134" i="43"/>
  <c r="H137" i="43"/>
  <c r="F25" i="46"/>
  <c r="K137" i="43"/>
  <c r="F26" i="46"/>
  <c r="Q137" i="43"/>
  <c r="F28" i="46"/>
  <c r="Q136" i="42"/>
  <c r="E28" i="46"/>
  <c r="H133" i="41"/>
  <c r="H136" i="41"/>
  <c r="D25" i="46"/>
  <c r="K136" i="41"/>
  <c r="D26" i="46"/>
  <c r="Q136" i="41"/>
  <c r="D28" i="46"/>
  <c r="N133" i="41"/>
  <c r="N136" i="41"/>
  <c r="D27" i="46"/>
  <c r="Q134" i="40"/>
  <c r="Q137" i="40"/>
  <c r="G18" i="46"/>
  <c r="N134" i="40"/>
  <c r="N137" i="40"/>
  <c r="G17" i="46"/>
  <c r="K134" i="40"/>
  <c r="K137" i="40"/>
  <c r="G16" i="46"/>
  <c r="Q134" i="39"/>
  <c r="Q137" i="39"/>
  <c r="F18" i="46"/>
  <c r="Q132" i="37"/>
  <c r="Q135" i="37"/>
  <c r="D18" i="46"/>
  <c r="K132" i="37"/>
  <c r="N132" i="37"/>
  <c r="N135" i="37"/>
  <c r="D17" i="46"/>
  <c r="H132" i="37"/>
  <c r="H135" i="37"/>
  <c r="D15" i="46"/>
  <c r="K134" i="33"/>
  <c r="K137" i="33"/>
  <c r="F6" i="46"/>
  <c r="N134" i="33"/>
  <c r="N137" i="33"/>
  <c r="F7" i="46"/>
  <c r="Q134" i="33"/>
  <c r="Q137" i="33"/>
  <c r="F8" i="46"/>
  <c r="H133" i="31"/>
  <c r="H136" i="31"/>
  <c r="D5" i="46"/>
  <c r="N133" i="31"/>
  <c r="N136" i="31"/>
  <c r="D7" i="46"/>
  <c r="Q133" i="31"/>
  <c r="Q136" i="31"/>
  <c r="D8" i="46"/>
  <c r="H133" i="38"/>
  <c r="H136" i="38"/>
  <c r="E15" i="46"/>
  <c r="H134" i="40"/>
  <c r="H137" i="40"/>
  <c r="G15" i="46"/>
  <c r="Q133" i="38"/>
  <c r="Q136" i="38"/>
  <c r="E18" i="46"/>
  <c r="N133" i="38"/>
  <c r="N136" i="38"/>
  <c r="E17" i="46"/>
  <c r="K133" i="38"/>
  <c r="K136" i="38"/>
  <c r="E16" i="46"/>
  <c r="K134" i="34"/>
  <c r="K137" i="34"/>
  <c r="G6" i="46"/>
  <c r="Q134" i="34"/>
  <c r="Q137" i="34"/>
  <c r="G8" i="46"/>
  <c r="Q132" i="32"/>
  <c r="Q135" i="32"/>
  <c r="E8" i="46"/>
  <c r="N134" i="34"/>
  <c r="N137" i="34"/>
  <c r="G7" i="46"/>
  <c r="N132" i="32"/>
  <c r="N135" i="32"/>
  <c r="E7" i="46"/>
  <c r="H133" i="42"/>
  <c r="H134" i="34"/>
  <c r="H134" i="33"/>
  <c r="E44" i="8"/>
  <c r="K42" i="8"/>
  <c r="K39" i="8"/>
  <c r="K40" i="8"/>
  <c r="K38" i="8"/>
  <c r="K41" i="8"/>
  <c r="E40" i="8"/>
  <c r="E41" i="8"/>
  <c r="E38" i="8"/>
  <c r="E39" i="8"/>
  <c r="E43" i="8"/>
  <c r="I147" i="50"/>
  <c r="J144" i="50" s="1"/>
  <c r="I187" i="50"/>
  <c r="J183" i="50" s="1"/>
  <c r="X116" i="50"/>
  <c r="I78" i="50"/>
  <c r="I119" i="50"/>
  <c r="I117" i="50"/>
  <c r="L119" i="50"/>
  <c r="X96" i="50"/>
  <c r="AA96" i="50"/>
  <c r="X98" i="50"/>
  <c r="Y34" i="50"/>
  <c r="I116" i="50"/>
  <c r="L93" i="50"/>
  <c r="I98" i="50"/>
  <c r="AA50" i="50"/>
  <c r="U124" i="50"/>
  <c r="V115" i="50"/>
  <c r="E9" i="8"/>
  <c r="E10" i="8"/>
  <c r="AA10" i="50"/>
  <c r="L31" i="50"/>
  <c r="C98" i="50"/>
  <c r="AA115" i="50"/>
  <c r="AB117" i="50"/>
  <c r="I76" i="50"/>
  <c r="V98" i="50"/>
  <c r="U104" i="50"/>
  <c r="V91" i="50"/>
  <c r="I96" i="50"/>
  <c r="H104" i="50"/>
  <c r="I100" i="50"/>
  <c r="F124" i="50"/>
  <c r="G120" i="50"/>
  <c r="H124" i="50"/>
  <c r="I115" i="50"/>
  <c r="G118" i="50"/>
  <c r="L116" i="50"/>
  <c r="R35" i="50"/>
  <c r="Q104" i="50"/>
  <c r="R94" i="50"/>
  <c r="B104" i="50"/>
  <c r="C100" i="50"/>
  <c r="M99" i="50"/>
  <c r="W84" i="50"/>
  <c r="X74" i="50"/>
  <c r="U84" i="50"/>
  <c r="V82" i="50"/>
  <c r="R79" i="50"/>
  <c r="V79" i="50"/>
  <c r="D84" i="50"/>
  <c r="E80" i="50"/>
  <c r="V110" i="50"/>
  <c r="M98" i="50"/>
  <c r="V97" i="50"/>
  <c r="G116" i="50"/>
  <c r="Y92" i="50"/>
  <c r="J76" i="50"/>
  <c r="X117" i="50"/>
  <c r="X118" i="50"/>
  <c r="I94" i="50"/>
  <c r="X77" i="50"/>
  <c r="X119" i="50"/>
  <c r="J57" i="50"/>
  <c r="AA112" i="50"/>
  <c r="X78" i="50"/>
  <c r="F104" i="50"/>
  <c r="G93" i="50"/>
  <c r="J78" i="50"/>
  <c r="AA34" i="50"/>
  <c r="Y113" i="50"/>
  <c r="W124" i="50"/>
  <c r="W104" i="50"/>
  <c r="X92" i="50"/>
  <c r="I97" i="50"/>
  <c r="G97" i="50"/>
  <c r="G119" i="50"/>
  <c r="G99" i="50"/>
  <c r="F84" i="50"/>
  <c r="G73" i="50"/>
  <c r="J112" i="50"/>
  <c r="L73" i="50"/>
  <c r="V77" i="50"/>
  <c r="I77" i="50"/>
  <c r="I99" i="50"/>
  <c r="V78" i="50"/>
  <c r="H84" i="50"/>
  <c r="I72" i="50"/>
  <c r="X79" i="50"/>
  <c r="V96" i="50"/>
  <c r="G96" i="50"/>
  <c r="G98" i="50"/>
  <c r="R102" i="50"/>
  <c r="AA92" i="50"/>
  <c r="S104" i="50"/>
  <c r="T92" i="50"/>
  <c r="J115" i="50"/>
  <c r="C117" i="50"/>
  <c r="Y101" i="50"/>
  <c r="AA75" i="50"/>
  <c r="AB77" i="50"/>
  <c r="T77" i="50"/>
  <c r="S124" i="50"/>
  <c r="T113" i="50"/>
  <c r="AA116" i="50"/>
  <c r="T116" i="50"/>
  <c r="J118" i="50"/>
  <c r="C118" i="50"/>
  <c r="Y93" i="50"/>
  <c r="Y112" i="50"/>
  <c r="Q124" i="50"/>
  <c r="R115" i="50"/>
  <c r="L115" i="50"/>
  <c r="E117" i="50"/>
  <c r="R118" i="50"/>
  <c r="Y118" i="50"/>
  <c r="Y73" i="50"/>
  <c r="E116" i="50"/>
  <c r="C79" i="50"/>
  <c r="T55" i="50"/>
  <c r="AA95" i="50"/>
  <c r="AB99" i="50"/>
  <c r="T97" i="50"/>
  <c r="J75" i="50"/>
  <c r="C77" i="50"/>
  <c r="L112" i="50"/>
  <c r="Y115" i="50"/>
  <c r="R117" i="50"/>
  <c r="J113" i="50"/>
  <c r="T56" i="50"/>
  <c r="AA93" i="50"/>
  <c r="Q84" i="50"/>
  <c r="R73" i="50"/>
  <c r="L121" i="50"/>
  <c r="J81" i="50"/>
  <c r="E119" i="50"/>
  <c r="T98" i="50"/>
  <c r="C78" i="50"/>
  <c r="C116" i="50"/>
  <c r="Y78" i="50"/>
  <c r="R78" i="50"/>
  <c r="T99" i="50"/>
  <c r="J72" i="50"/>
  <c r="B84" i="50"/>
  <c r="C72" i="50"/>
  <c r="L101" i="50"/>
  <c r="L75" i="50"/>
  <c r="M78" i="50"/>
  <c r="E77" i="50"/>
  <c r="E79" i="50"/>
  <c r="AA73" i="50"/>
  <c r="T79" i="50"/>
  <c r="R96" i="50"/>
  <c r="T54" i="50"/>
  <c r="J80" i="50"/>
  <c r="Y75" i="50"/>
  <c r="R77" i="50"/>
  <c r="AA121" i="50"/>
  <c r="L72" i="50"/>
  <c r="Y81" i="50"/>
  <c r="D124" i="50"/>
  <c r="E113" i="50"/>
  <c r="J95" i="50"/>
  <c r="K96" i="50"/>
  <c r="C97" i="50"/>
  <c r="AA81" i="50"/>
  <c r="J73" i="50"/>
  <c r="B124" i="50"/>
  <c r="C115" i="50"/>
  <c r="E78" i="50"/>
  <c r="J119" i="50"/>
  <c r="C119" i="50"/>
  <c r="Y116" i="50"/>
  <c r="R116" i="50"/>
  <c r="J101" i="50"/>
  <c r="AA113" i="50"/>
  <c r="L113" i="50"/>
  <c r="J93" i="50"/>
  <c r="Y36" i="50"/>
  <c r="D104" i="50"/>
  <c r="T78" i="50"/>
  <c r="AA78" i="50"/>
  <c r="Y50" i="50"/>
  <c r="I165" i="50"/>
  <c r="I167" i="50" s="1"/>
  <c r="J164" i="50" s="1"/>
  <c r="L118" i="50"/>
  <c r="E118" i="50"/>
  <c r="AA101" i="50"/>
  <c r="R99" i="50"/>
  <c r="Y95" i="50"/>
  <c r="Z98" i="50"/>
  <c r="R95" i="50"/>
  <c r="R97" i="50"/>
  <c r="L81" i="50"/>
  <c r="S84" i="50"/>
  <c r="T75" i="50"/>
  <c r="L96" i="50"/>
  <c r="M96" i="50"/>
  <c r="E96" i="50"/>
  <c r="T96" i="50"/>
  <c r="C96" i="50"/>
  <c r="X54" i="50"/>
  <c r="W62" i="50"/>
  <c r="X58" i="50"/>
  <c r="R16" i="50"/>
  <c r="T14" i="50"/>
  <c r="R17" i="50"/>
  <c r="R15" i="50"/>
  <c r="AA53" i="50"/>
  <c r="AB56" i="50"/>
  <c r="X55" i="50"/>
  <c r="X56" i="50"/>
  <c r="R14" i="50"/>
  <c r="T15" i="50"/>
  <c r="T17" i="50"/>
  <c r="L51" i="50"/>
  <c r="T16" i="50"/>
  <c r="X14" i="50"/>
  <c r="X16" i="50"/>
  <c r="Y14" i="50"/>
  <c r="V14" i="50"/>
  <c r="R34" i="50"/>
  <c r="R36" i="50"/>
  <c r="AA36" i="50"/>
  <c r="X17" i="50"/>
  <c r="X57" i="50"/>
  <c r="K17" i="50"/>
  <c r="AA51" i="50"/>
  <c r="K14" i="50"/>
  <c r="AA14" i="50"/>
  <c r="Y16" i="50"/>
  <c r="S62" i="50"/>
  <c r="T48" i="50"/>
  <c r="H42" i="50"/>
  <c r="I39" i="50"/>
  <c r="R54" i="50"/>
  <c r="C57" i="50"/>
  <c r="B62" i="50"/>
  <c r="C53" i="50"/>
  <c r="G56" i="50"/>
  <c r="J33" i="50"/>
  <c r="H62" i="50"/>
  <c r="I49" i="50"/>
  <c r="Q22" i="50"/>
  <c r="R19" i="50"/>
  <c r="V34" i="50"/>
  <c r="R57" i="50"/>
  <c r="V36" i="50"/>
  <c r="I55" i="50"/>
  <c r="U62" i="50"/>
  <c r="V48" i="50"/>
  <c r="Y10" i="50"/>
  <c r="L53" i="50"/>
  <c r="L50" i="50"/>
  <c r="Y54" i="50"/>
  <c r="D62" i="50"/>
  <c r="E51" i="50"/>
  <c r="F62" i="50"/>
  <c r="G59" i="50"/>
  <c r="I56" i="50"/>
  <c r="W42" i="50"/>
  <c r="X40" i="50"/>
  <c r="S42" i="50"/>
  <c r="B42" i="50"/>
  <c r="C39" i="50"/>
  <c r="E55" i="50"/>
  <c r="E54" i="50"/>
  <c r="R56" i="50"/>
  <c r="R55" i="50"/>
  <c r="T35" i="50"/>
  <c r="Q62" i="50"/>
  <c r="Y31" i="50"/>
  <c r="E57" i="50"/>
  <c r="T34" i="50"/>
  <c r="J51" i="50"/>
  <c r="D42" i="50"/>
  <c r="C55" i="50"/>
  <c r="C54" i="50"/>
  <c r="T36" i="50"/>
  <c r="T37" i="50"/>
  <c r="J59" i="50"/>
  <c r="J38" i="50"/>
  <c r="C56" i="50"/>
  <c r="Q42" i="50"/>
  <c r="C34" i="50"/>
  <c r="C35" i="50"/>
  <c r="C37" i="50"/>
  <c r="AA39" i="50"/>
  <c r="J53" i="50"/>
  <c r="G54" i="50"/>
  <c r="G55" i="50"/>
  <c r="J31" i="50"/>
  <c r="AA38" i="50"/>
  <c r="I57" i="50"/>
  <c r="L57" i="50"/>
  <c r="G57" i="50"/>
  <c r="Y53" i="50"/>
  <c r="V55" i="50"/>
  <c r="AA33" i="50"/>
  <c r="AB37" i="50"/>
  <c r="X35" i="50"/>
  <c r="AA31" i="50"/>
  <c r="L33" i="50"/>
  <c r="I35" i="50"/>
  <c r="I34" i="50"/>
  <c r="Y30" i="50"/>
  <c r="L59" i="50"/>
  <c r="V54" i="50"/>
  <c r="X37" i="50"/>
  <c r="V56" i="50"/>
  <c r="J30" i="50"/>
  <c r="F42" i="50"/>
  <c r="G30" i="50"/>
  <c r="Y38" i="50"/>
  <c r="X34" i="50"/>
  <c r="U42" i="50"/>
  <c r="J50" i="50"/>
  <c r="V37" i="50"/>
  <c r="Y33" i="50"/>
  <c r="V35" i="50"/>
  <c r="AA54" i="50"/>
  <c r="Y59" i="50"/>
  <c r="G37" i="50"/>
  <c r="J37" i="50"/>
  <c r="J58" i="50"/>
  <c r="AA30" i="50"/>
  <c r="L38" i="50"/>
  <c r="W22" i="50"/>
  <c r="L30" i="50"/>
  <c r="X36" i="50"/>
  <c r="I36" i="50"/>
  <c r="Y39" i="50"/>
  <c r="I37" i="50"/>
  <c r="L37" i="50"/>
  <c r="V57" i="50"/>
  <c r="Y13" i="50"/>
  <c r="AA16" i="50"/>
  <c r="AA11" i="50"/>
  <c r="AA13" i="50"/>
  <c r="S22" i="50"/>
  <c r="T19" i="50"/>
  <c r="AA19" i="50"/>
  <c r="U22" i="50"/>
  <c r="Y11" i="50"/>
  <c r="Y19" i="50"/>
  <c r="L19" i="50"/>
  <c r="H22" i="50"/>
  <c r="D22" i="50"/>
  <c r="E19" i="50"/>
  <c r="M17" i="50"/>
  <c r="G10" i="50"/>
  <c r="G9" i="50"/>
  <c r="G20" i="50"/>
  <c r="G11" i="50"/>
  <c r="G12" i="50"/>
  <c r="G18" i="50"/>
  <c r="G8" i="50"/>
  <c r="K16" i="50"/>
  <c r="J19" i="50"/>
  <c r="B22" i="50"/>
  <c r="K15" i="50"/>
  <c r="M16" i="50"/>
  <c r="M14" i="50"/>
  <c r="M15" i="50"/>
  <c r="G13" i="50"/>
  <c r="G19" i="50"/>
  <c r="K45" i="8"/>
  <c r="K135" i="37"/>
  <c r="D16" i="46"/>
  <c r="E20" i="46"/>
  <c r="G31" i="46"/>
  <c r="E31" i="46"/>
  <c r="D11" i="46"/>
  <c r="G30" i="46"/>
  <c r="F31" i="46"/>
  <c r="F21" i="46"/>
  <c r="D20" i="46"/>
  <c r="G21" i="46"/>
  <c r="E10" i="46"/>
  <c r="F11" i="46"/>
  <c r="F30" i="46"/>
  <c r="I28" i="46"/>
  <c r="D31" i="46"/>
  <c r="E21" i="46"/>
  <c r="D10" i="46"/>
  <c r="I27" i="46"/>
  <c r="I18" i="46"/>
  <c r="I17" i="46"/>
  <c r="E11" i="46"/>
  <c r="I8" i="46"/>
  <c r="I7" i="46"/>
  <c r="G11" i="46"/>
  <c r="G20" i="46"/>
  <c r="I26" i="46"/>
  <c r="D30" i="46"/>
  <c r="H136" i="42"/>
  <c r="E25" i="46"/>
  <c r="E30" i="46"/>
  <c r="H137" i="39"/>
  <c r="F15" i="46"/>
  <c r="F20" i="46"/>
  <c r="H137" i="33"/>
  <c r="F5" i="46"/>
  <c r="F10" i="46"/>
  <c r="H137" i="34"/>
  <c r="E45" i="8"/>
  <c r="E15" i="8"/>
  <c r="E21" i="8"/>
  <c r="E24" i="8"/>
  <c r="E19" i="8"/>
  <c r="E18" i="8"/>
  <c r="E16" i="8"/>
  <c r="E20" i="8"/>
  <c r="E13" i="8"/>
  <c r="E12" i="8"/>
  <c r="E14" i="8"/>
  <c r="E23" i="8"/>
  <c r="J135" i="50"/>
  <c r="R91" i="50"/>
  <c r="V122" i="50"/>
  <c r="V113" i="50"/>
  <c r="V112" i="50"/>
  <c r="X73" i="50"/>
  <c r="V111" i="50"/>
  <c r="V114" i="50"/>
  <c r="L104" i="50"/>
  <c r="I95" i="50"/>
  <c r="AA84" i="50"/>
  <c r="V121" i="50"/>
  <c r="V120" i="50"/>
  <c r="X80" i="50"/>
  <c r="V93" i="50"/>
  <c r="V100" i="50"/>
  <c r="V92" i="50"/>
  <c r="E112" i="50"/>
  <c r="AB118" i="50"/>
  <c r="X81" i="50"/>
  <c r="G122" i="50"/>
  <c r="V73" i="50"/>
  <c r="AB116" i="50"/>
  <c r="AB119" i="50"/>
  <c r="R90" i="50"/>
  <c r="X82" i="50"/>
  <c r="V81" i="50"/>
  <c r="X75" i="50"/>
  <c r="X71" i="50"/>
  <c r="V74" i="50"/>
  <c r="V101" i="50"/>
  <c r="V90" i="50"/>
  <c r="V94" i="50"/>
  <c r="V102" i="50"/>
  <c r="R92" i="50"/>
  <c r="R93" i="50"/>
  <c r="R100" i="50"/>
  <c r="R101" i="50"/>
  <c r="V95" i="50"/>
  <c r="I93" i="50"/>
  <c r="C93" i="50"/>
  <c r="C91" i="50"/>
  <c r="I92" i="50"/>
  <c r="I101" i="50"/>
  <c r="I102" i="50"/>
  <c r="I91" i="50"/>
  <c r="I90" i="50"/>
  <c r="E82" i="50"/>
  <c r="E72" i="50"/>
  <c r="E70" i="50"/>
  <c r="E75" i="50"/>
  <c r="E74" i="50"/>
  <c r="E73" i="50"/>
  <c r="E71" i="50"/>
  <c r="E81" i="50"/>
  <c r="V71" i="50"/>
  <c r="V75" i="50"/>
  <c r="V72" i="50"/>
  <c r="AB78" i="50"/>
  <c r="V80" i="50"/>
  <c r="G121" i="50"/>
  <c r="G113" i="50"/>
  <c r="G112" i="50"/>
  <c r="I121" i="50"/>
  <c r="G111" i="50"/>
  <c r="G114" i="50"/>
  <c r="I114" i="50"/>
  <c r="I110" i="50"/>
  <c r="G115" i="50"/>
  <c r="I112" i="50"/>
  <c r="I111" i="50"/>
  <c r="I113" i="50"/>
  <c r="G110" i="50"/>
  <c r="I120" i="50"/>
  <c r="I122" i="50"/>
  <c r="M116" i="50"/>
  <c r="X101" i="50"/>
  <c r="C94" i="50"/>
  <c r="C95" i="50"/>
  <c r="C92" i="50"/>
  <c r="C101" i="50"/>
  <c r="C90" i="50"/>
  <c r="C102" i="50"/>
  <c r="X48" i="50"/>
  <c r="X53" i="50"/>
  <c r="X50" i="50"/>
  <c r="X60" i="50"/>
  <c r="X51" i="50"/>
  <c r="X49" i="50"/>
  <c r="X52" i="50"/>
  <c r="X59" i="50"/>
  <c r="V59" i="50"/>
  <c r="V50" i="50"/>
  <c r="Y104" i="50"/>
  <c r="Z90" i="50"/>
  <c r="X93" i="50"/>
  <c r="T93" i="50"/>
  <c r="M100" i="50"/>
  <c r="M95" i="50"/>
  <c r="G95" i="50"/>
  <c r="V70" i="50"/>
  <c r="X72" i="50"/>
  <c r="X70" i="50"/>
  <c r="C75" i="50"/>
  <c r="C80" i="50"/>
  <c r="K78" i="50"/>
  <c r="C73" i="50"/>
  <c r="J84" i="50"/>
  <c r="K82" i="50"/>
  <c r="I32" i="50"/>
  <c r="I81" i="50"/>
  <c r="X122" i="50"/>
  <c r="X111" i="50"/>
  <c r="X114" i="50"/>
  <c r="X120" i="50"/>
  <c r="X121" i="50"/>
  <c r="X110" i="50"/>
  <c r="I73" i="50"/>
  <c r="G101" i="50"/>
  <c r="G91" i="50"/>
  <c r="G92" i="50"/>
  <c r="G102" i="50"/>
  <c r="G90" i="50"/>
  <c r="G100" i="50"/>
  <c r="G94" i="50"/>
  <c r="X113" i="50"/>
  <c r="X30" i="50"/>
  <c r="AB96" i="50"/>
  <c r="I75" i="50"/>
  <c r="AA62" i="50"/>
  <c r="AB50" i="50"/>
  <c r="Y84" i="50"/>
  <c r="Z71" i="50"/>
  <c r="I79" i="50"/>
  <c r="I71" i="50"/>
  <c r="I70" i="50"/>
  <c r="I80" i="50"/>
  <c r="I82" i="50"/>
  <c r="I74" i="50"/>
  <c r="X112" i="50"/>
  <c r="G70" i="50"/>
  <c r="G71" i="50"/>
  <c r="G82" i="50"/>
  <c r="G75" i="50"/>
  <c r="G72" i="50"/>
  <c r="G81" i="50"/>
  <c r="G74" i="50"/>
  <c r="G80" i="50"/>
  <c r="M118" i="50"/>
  <c r="Z116" i="50"/>
  <c r="X100" i="50"/>
  <c r="X102" i="50"/>
  <c r="X90" i="50"/>
  <c r="X91" i="50"/>
  <c r="X95" i="50"/>
  <c r="X94" i="50"/>
  <c r="X115" i="50"/>
  <c r="R122" i="50"/>
  <c r="R114" i="50"/>
  <c r="R111" i="50"/>
  <c r="R113" i="50"/>
  <c r="R120" i="50"/>
  <c r="R110" i="50"/>
  <c r="R121" i="50"/>
  <c r="K117" i="50"/>
  <c r="R75" i="50"/>
  <c r="K99" i="50"/>
  <c r="C29" i="50"/>
  <c r="AB97" i="50"/>
  <c r="M117" i="50"/>
  <c r="T112" i="50"/>
  <c r="T122" i="50"/>
  <c r="T111" i="50"/>
  <c r="T120" i="50"/>
  <c r="T115" i="50"/>
  <c r="T110" i="50"/>
  <c r="T114" i="50"/>
  <c r="R74" i="50"/>
  <c r="R71" i="50"/>
  <c r="R82" i="50"/>
  <c r="R80" i="50"/>
  <c r="R70" i="50"/>
  <c r="R72" i="50"/>
  <c r="J104" i="50"/>
  <c r="K93" i="50"/>
  <c r="L84" i="50"/>
  <c r="M81" i="50"/>
  <c r="Z117" i="50"/>
  <c r="M90" i="50"/>
  <c r="M91" i="50"/>
  <c r="Z77" i="50"/>
  <c r="K97" i="50"/>
  <c r="E120" i="50"/>
  <c r="E122" i="50"/>
  <c r="E111" i="50"/>
  <c r="E114" i="50"/>
  <c r="E110" i="50"/>
  <c r="R112" i="50"/>
  <c r="M94" i="50"/>
  <c r="M92" i="50"/>
  <c r="E93" i="50"/>
  <c r="E91" i="50"/>
  <c r="E100" i="50"/>
  <c r="E90" i="50"/>
  <c r="E95" i="50"/>
  <c r="E102" i="50"/>
  <c r="E94" i="50"/>
  <c r="E92" i="50"/>
  <c r="M79" i="50"/>
  <c r="M77" i="50"/>
  <c r="M93" i="50"/>
  <c r="K98" i="50"/>
  <c r="Z119" i="50"/>
  <c r="AA104" i="50"/>
  <c r="AB95" i="50"/>
  <c r="T80" i="50"/>
  <c r="T71" i="50"/>
  <c r="T82" i="50"/>
  <c r="T72" i="50"/>
  <c r="T70" i="50"/>
  <c r="T74" i="50"/>
  <c r="Z97" i="50"/>
  <c r="Z99" i="50"/>
  <c r="K119" i="50"/>
  <c r="AB79" i="50"/>
  <c r="T81" i="50"/>
  <c r="E101" i="50"/>
  <c r="J124" i="50"/>
  <c r="K115" i="50"/>
  <c r="AB98" i="50"/>
  <c r="Z76" i="50"/>
  <c r="K76" i="50"/>
  <c r="K77" i="50"/>
  <c r="K116" i="50"/>
  <c r="T100" i="50"/>
  <c r="T91" i="50"/>
  <c r="T94" i="50"/>
  <c r="T90" i="50"/>
  <c r="T102" i="50"/>
  <c r="R81" i="50"/>
  <c r="L124" i="50"/>
  <c r="Z118" i="50"/>
  <c r="M102" i="50"/>
  <c r="Z79" i="50"/>
  <c r="C110" i="50"/>
  <c r="C122" i="50"/>
  <c r="C111" i="50"/>
  <c r="C112" i="50"/>
  <c r="C121" i="50"/>
  <c r="C120" i="50"/>
  <c r="C114" i="50"/>
  <c r="M101" i="50"/>
  <c r="AB76" i="50"/>
  <c r="C113" i="50"/>
  <c r="K79" i="50"/>
  <c r="M76" i="50"/>
  <c r="AA124" i="50"/>
  <c r="AB113" i="50"/>
  <c r="T101" i="50"/>
  <c r="Z96" i="50"/>
  <c r="M119" i="50"/>
  <c r="Y124" i="50"/>
  <c r="T121" i="50"/>
  <c r="T73" i="50"/>
  <c r="C70" i="50"/>
  <c r="C71" i="50"/>
  <c r="C74" i="50"/>
  <c r="C82" i="50"/>
  <c r="Z78" i="50"/>
  <c r="C81" i="50"/>
  <c r="E121" i="50"/>
  <c r="T95" i="50"/>
  <c r="E115" i="50"/>
  <c r="K118" i="50"/>
  <c r="I28" i="50"/>
  <c r="G51" i="50"/>
  <c r="I31" i="50"/>
  <c r="G52" i="50"/>
  <c r="R11" i="50"/>
  <c r="I30" i="50"/>
  <c r="I33" i="50"/>
  <c r="I29" i="50"/>
  <c r="AB54" i="50"/>
  <c r="AB57" i="50"/>
  <c r="AB55" i="50"/>
  <c r="I38" i="50"/>
  <c r="I40" i="50"/>
  <c r="X31" i="50"/>
  <c r="V52" i="50"/>
  <c r="T50" i="50"/>
  <c r="V53" i="50"/>
  <c r="V58" i="50"/>
  <c r="R13" i="50"/>
  <c r="M36" i="50"/>
  <c r="I51" i="50"/>
  <c r="M56" i="50"/>
  <c r="K36" i="50"/>
  <c r="C50" i="50"/>
  <c r="C58" i="50"/>
  <c r="G49" i="50"/>
  <c r="I31" i="46"/>
  <c r="C52" i="50"/>
  <c r="T58" i="50"/>
  <c r="C40" i="50"/>
  <c r="T53" i="50"/>
  <c r="C60" i="50"/>
  <c r="C51" i="50"/>
  <c r="T59" i="50"/>
  <c r="T49" i="50"/>
  <c r="T51" i="50"/>
  <c r="T52" i="50"/>
  <c r="E48" i="50"/>
  <c r="C59" i="50"/>
  <c r="AA42" i="50"/>
  <c r="AB28" i="50"/>
  <c r="L22" i="50"/>
  <c r="M11" i="50"/>
  <c r="X29" i="50"/>
  <c r="C30" i="50"/>
  <c r="E60" i="50"/>
  <c r="G60" i="50"/>
  <c r="G58" i="50"/>
  <c r="V49" i="50"/>
  <c r="E59" i="50"/>
  <c r="R10" i="50"/>
  <c r="E49" i="50"/>
  <c r="G53" i="50"/>
  <c r="R18" i="50"/>
  <c r="R12" i="50"/>
  <c r="M57" i="50"/>
  <c r="E50" i="50"/>
  <c r="E52" i="50"/>
  <c r="C32" i="50"/>
  <c r="M54" i="50"/>
  <c r="R8" i="50"/>
  <c r="R20" i="50"/>
  <c r="K37" i="50"/>
  <c r="G50" i="50"/>
  <c r="V51" i="50"/>
  <c r="E53" i="50"/>
  <c r="E58" i="50"/>
  <c r="C31" i="50"/>
  <c r="L62" i="50"/>
  <c r="M60" i="50"/>
  <c r="V60" i="50"/>
  <c r="R9" i="50"/>
  <c r="C33" i="50"/>
  <c r="T60" i="50"/>
  <c r="C28" i="50"/>
  <c r="T32" i="50"/>
  <c r="I50" i="50"/>
  <c r="K35" i="50"/>
  <c r="K34" i="50"/>
  <c r="T38" i="50"/>
  <c r="Z57" i="50"/>
  <c r="Z34" i="50"/>
  <c r="I58" i="50"/>
  <c r="T31" i="50"/>
  <c r="T28" i="50"/>
  <c r="T33" i="50"/>
  <c r="X10" i="50"/>
  <c r="Z56" i="50"/>
  <c r="I48" i="50"/>
  <c r="X33" i="50"/>
  <c r="X39" i="50"/>
  <c r="R31" i="50"/>
  <c r="T39" i="50"/>
  <c r="T30" i="50"/>
  <c r="G48" i="50"/>
  <c r="C48" i="50"/>
  <c r="C49" i="50"/>
  <c r="T13" i="50"/>
  <c r="T40" i="50"/>
  <c r="I53" i="50"/>
  <c r="I60" i="50"/>
  <c r="AB34" i="50"/>
  <c r="X38" i="50"/>
  <c r="X28" i="50"/>
  <c r="C38" i="50"/>
  <c r="Z14" i="50"/>
  <c r="T29" i="50"/>
  <c r="Z16" i="50"/>
  <c r="I52" i="50"/>
  <c r="I59" i="50"/>
  <c r="X32" i="50"/>
  <c r="M55" i="50"/>
  <c r="AB53" i="50"/>
  <c r="Z36" i="50"/>
  <c r="M37" i="50"/>
  <c r="E29" i="50"/>
  <c r="E32" i="50"/>
  <c r="E40" i="50"/>
  <c r="E31" i="50"/>
  <c r="E28" i="50"/>
  <c r="E33" i="50"/>
  <c r="E39" i="50"/>
  <c r="E30" i="50"/>
  <c r="L42" i="50"/>
  <c r="M32" i="50"/>
  <c r="Y42" i="50"/>
  <c r="Z33" i="50"/>
  <c r="R53" i="50"/>
  <c r="R49" i="50"/>
  <c r="R59" i="50"/>
  <c r="R60" i="50"/>
  <c r="R48" i="50"/>
  <c r="R51" i="50"/>
  <c r="R50" i="50"/>
  <c r="R58" i="50"/>
  <c r="R52" i="50"/>
  <c r="AB36" i="50"/>
  <c r="AB48" i="50"/>
  <c r="R38" i="50"/>
  <c r="R40" i="50"/>
  <c r="R29" i="50"/>
  <c r="R28" i="50"/>
  <c r="R39" i="50"/>
  <c r="R33" i="50"/>
  <c r="R32" i="50"/>
  <c r="R30" i="50"/>
  <c r="E38" i="50"/>
  <c r="J62" i="50"/>
  <c r="K51" i="50"/>
  <c r="X20" i="50"/>
  <c r="X8" i="50"/>
  <c r="V28" i="50"/>
  <c r="V32" i="50"/>
  <c r="V40" i="50"/>
  <c r="V29" i="50"/>
  <c r="V31" i="50"/>
  <c r="V38" i="50"/>
  <c r="M35" i="50"/>
  <c r="M34" i="50"/>
  <c r="K56" i="50"/>
  <c r="K55" i="50"/>
  <c r="K54" i="50"/>
  <c r="V30" i="50"/>
  <c r="K57" i="50"/>
  <c r="AB35" i="50"/>
  <c r="G31" i="50"/>
  <c r="X19" i="50"/>
  <c r="X9" i="50"/>
  <c r="Z37" i="50"/>
  <c r="Z35" i="50"/>
  <c r="X11" i="50"/>
  <c r="X13" i="50"/>
  <c r="X18" i="50"/>
  <c r="Y62" i="50"/>
  <c r="V33" i="50"/>
  <c r="J42" i="50"/>
  <c r="K31" i="50"/>
  <c r="Z54" i="50"/>
  <c r="Z55" i="50"/>
  <c r="X12" i="50"/>
  <c r="G28" i="50"/>
  <c r="G40" i="50"/>
  <c r="G29" i="50"/>
  <c r="G39" i="50"/>
  <c r="G33" i="50"/>
  <c r="G32" i="50"/>
  <c r="G38" i="50"/>
  <c r="V39" i="50"/>
  <c r="Y22" i="50"/>
  <c r="Z13" i="50"/>
  <c r="AB16" i="50"/>
  <c r="T9" i="50"/>
  <c r="T18" i="50"/>
  <c r="T20" i="50"/>
  <c r="T8" i="50"/>
  <c r="T12" i="50"/>
  <c r="T10" i="50"/>
  <c r="V10" i="50"/>
  <c r="V9" i="50"/>
  <c r="V20" i="50"/>
  <c r="V8" i="50"/>
  <c r="V18" i="50"/>
  <c r="V13" i="50"/>
  <c r="V12" i="50"/>
  <c r="AB17" i="50"/>
  <c r="AB15" i="50"/>
  <c r="T11" i="50"/>
  <c r="Z15" i="50"/>
  <c r="Z17" i="50"/>
  <c r="AB14" i="50"/>
  <c r="V11" i="50"/>
  <c r="AA22" i="50"/>
  <c r="AB19" i="50"/>
  <c r="V19" i="50"/>
  <c r="G22" i="50"/>
  <c r="E8" i="50"/>
  <c r="E9" i="50"/>
  <c r="E18" i="50"/>
  <c r="E12" i="50"/>
  <c r="E20" i="50"/>
  <c r="E11" i="50"/>
  <c r="E10" i="50"/>
  <c r="E13" i="50"/>
  <c r="C11" i="50"/>
  <c r="C8" i="50"/>
  <c r="C9" i="50"/>
  <c r="C18" i="50"/>
  <c r="C10" i="50"/>
  <c r="C12" i="50"/>
  <c r="C20" i="50"/>
  <c r="C13" i="50"/>
  <c r="I8" i="50"/>
  <c r="I9" i="50"/>
  <c r="I18" i="50"/>
  <c r="I12" i="50"/>
  <c r="I20" i="50"/>
  <c r="I11" i="50"/>
  <c r="I13" i="50"/>
  <c r="I10" i="50"/>
  <c r="I19" i="50"/>
  <c r="C19" i="50"/>
  <c r="J22" i="50"/>
  <c r="K19" i="50"/>
  <c r="I25" i="46"/>
  <c r="D21" i="46"/>
  <c r="I21" i="46"/>
  <c r="I16" i="46"/>
  <c r="G5" i="46"/>
  <c r="G10" i="46"/>
  <c r="I11" i="46"/>
  <c r="D9" i="54"/>
  <c r="I20" i="46"/>
  <c r="I15" i="46"/>
  <c r="I30" i="46"/>
  <c r="D12" i="54"/>
  <c r="E25" i="8"/>
  <c r="I10" i="46"/>
  <c r="D8" i="54"/>
  <c r="D11" i="54"/>
  <c r="D10" i="54"/>
  <c r="E140" i="50"/>
  <c r="K113" i="50"/>
  <c r="Z95" i="50"/>
  <c r="E139" i="50"/>
  <c r="I104" i="50"/>
  <c r="E142" i="50"/>
  <c r="E141" i="50"/>
  <c r="C142" i="50"/>
  <c r="C180" i="50"/>
  <c r="X62" i="50"/>
  <c r="E84" i="50"/>
  <c r="K73" i="50"/>
  <c r="Z73" i="50"/>
  <c r="Z70" i="50"/>
  <c r="Z80" i="50"/>
  <c r="Z102" i="50"/>
  <c r="Z94" i="50"/>
  <c r="Z92" i="50"/>
  <c r="Z101" i="50"/>
  <c r="Z93" i="50"/>
  <c r="Z100" i="50"/>
  <c r="Z91" i="50"/>
  <c r="C104" i="50"/>
  <c r="G104" i="50"/>
  <c r="AB59" i="50"/>
  <c r="AB52" i="50"/>
  <c r="AB58" i="50"/>
  <c r="AB51" i="50"/>
  <c r="X124" i="50"/>
  <c r="T124" i="50"/>
  <c r="AB92" i="50"/>
  <c r="AB93" i="50"/>
  <c r="K95" i="50"/>
  <c r="C141" i="50"/>
  <c r="C139" i="50"/>
  <c r="K81" i="50"/>
  <c r="B147" i="50"/>
  <c r="C144" i="50" s="1"/>
  <c r="K75" i="50"/>
  <c r="K71" i="50"/>
  <c r="K80" i="50"/>
  <c r="K70" i="50"/>
  <c r="K72" i="50"/>
  <c r="M72" i="50"/>
  <c r="K74" i="50"/>
  <c r="C140" i="50"/>
  <c r="AB121" i="50"/>
  <c r="Z75" i="50"/>
  <c r="K101" i="50"/>
  <c r="Z72" i="50"/>
  <c r="Z82" i="50"/>
  <c r="G84" i="50"/>
  <c r="I84" i="50"/>
  <c r="AB60" i="50"/>
  <c r="Z81" i="50"/>
  <c r="Z74" i="50"/>
  <c r="AB49" i="50"/>
  <c r="M111" i="50"/>
  <c r="M122" i="50"/>
  <c r="M120" i="50"/>
  <c r="M114" i="50"/>
  <c r="M110" i="50"/>
  <c r="E104" i="50"/>
  <c r="M112" i="50"/>
  <c r="K90" i="50"/>
  <c r="K94" i="50"/>
  <c r="K91" i="50"/>
  <c r="K92" i="50"/>
  <c r="K100" i="50"/>
  <c r="K102" i="50"/>
  <c r="M115" i="50"/>
  <c r="M104" i="50"/>
  <c r="Z121" i="50"/>
  <c r="Z122" i="50"/>
  <c r="Z114" i="50"/>
  <c r="Z111" i="50"/>
  <c r="Z110" i="50"/>
  <c r="Z113" i="50"/>
  <c r="Z120" i="50"/>
  <c r="Z112" i="50"/>
  <c r="Z115" i="50"/>
  <c r="M71" i="50"/>
  <c r="M80" i="50"/>
  <c r="M82" i="50"/>
  <c r="M73" i="50"/>
  <c r="M70" i="50"/>
  <c r="M74" i="50"/>
  <c r="D167" i="50"/>
  <c r="E158" i="50" s="1"/>
  <c r="AB111" i="50"/>
  <c r="AB122" i="50"/>
  <c r="AB110" i="50"/>
  <c r="AB120" i="50"/>
  <c r="AB112" i="50"/>
  <c r="AB115" i="50"/>
  <c r="AB114" i="50"/>
  <c r="M113" i="50"/>
  <c r="K114" i="50"/>
  <c r="K122" i="50"/>
  <c r="K110" i="50"/>
  <c r="K111" i="50"/>
  <c r="K121" i="50"/>
  <c r="K120" i="50"/>
  <c r="K112" i="50"/>
  <c r="M75" i="50"/>
  <c r="M18" i="46"/>
  <c r="E181" i="50"/>
  <c r="C84" i="50"/>
  <c r="AB101" i="50"/>
  <c r="AB91" i="50"/>
  <c r="AB102" i="50"/>
  <c r="AB90" i="50"/>
  <c r="AB94" i="50"/>
  <c r="AB100" i="50"/>
  <c r="M121" i="50"/>
  <c r="C181" i="50"/>
  <c r="AB32" i="50"/>
  <c r="I42" i="50"/>
  <c r="M53" i="50"/>
  <c r="M20" i="50"/>
  <c r="AB40" i="50"/>
  <c r="M12" i="50"/>
  <c r="AB30" i="50"/>
  <c r="C182" i="50"/>
  <c r="C179" i="50"/>
  <c r="AB33" i="50"/>
  <c r="M10" i="50"/>
  <c r="M13" i="50"/>
  <c r="AB39" i="50"/>
  <c r="M8" i="50"/>
  <c r="M9" i="50"/>
  <c r="M19" i="50"/>
  <c r="AB31" i="50"/>
  <c r="M18" i="50"/>
  <c r="AB29" i="50"/>
  <c r="AB38" i="50"/>
  <c r="V62" i="50"/>
  <c r="D187" i="50"/>
  <c r="E185" i="50" s="1"/>
  <c r="C160" i="50"/>
  <c r="B167" i="50"/>
  <c r="C155" i="50" s="1"/>
  <c r="C161" i="50"/>
  <c r="E160" i="50"/>
  <c r="E159" i="50"/>
  <c r="G62" i="50"/>
  <c r="T62" i="50"/>
  <c r="E162" i="50"/>
  <c r="C162" i="50"/>
  <c r="B187" i="50"/>
  <c r="C176" i="50" s="1"/>
  <c r="C159" i="50"/>
  <c r="E161" i="50"/>
  <c r="E179" i="50"/>
  <c r="E180" i="50"/>
  <c r="E182" i="50"/>
  <c r="M48" i="50"/>
  <c r="M59" i="50"/>
  <c r="M49" i="50"/>
  <c r="C42" i="50"/>
  <c r="E62" i="50"/>
  <c r="Z28" i="50"/>
  <c r="M50" i="50"/>
  <c r="M58" i="50"/>
  <c r="K50" i="50"/>
  <c r="K49" i="50"/>
  <c r="I62" i="50"/>
  <c r="T42" i="50"/>
  <c r="C62" i="50"/>
  <c r="K52" i="50"/>
  <c r="M51" i="50"/>
  <c r="M52" i="50"/>
  <c r="X42" i="50"/>
  <c r="R84" i="50"/>
  <c r="Z11" i="50"/>
  <c r="G42" i="50"/>
  <c r="X84" i="50"/>
  <c r="X104" i="50"/>
  <c r="V124" i="50"/>
  <c r="G124" i="50"/>
  <c r="Z53" i="50"/>
  <c r="Z40" i="50"/>
  <c r="R104" i="50"/>
  <c r="K53" i="50"/>
  <c r="K48" i="50"/>
  <c r="V104" i="50"/>
  <c r="C124" i="50"/>
  <c r="V84" i="50"/>
  <c r="T104" i="50"/>
  <c r="R124" i="50"/>
  <c r="X22" i="50"/>
  <c r="E124" i="50"/>
  <c r="T84" i="50"/>
  <c r="AB11" i="50"/>
  <c r="AB71" i="50"/>
  <c r="AB80" i="50"/>
  <c r="AB82" i="50"/>
  <c r="AB74" i="50"/>
  <c r="AB81" i="50"/>
  <c r="AB72" i="50"/>
  <c r="AB70" i="50"/>
  <c r="AB75" i="50"/>
  <c r="AB73" i="50"/>
  <c r="I124" i="50"/>
  <c r="R42" i="50"/>
  <c r="M31" i="50"/>
  <c r="M30" i="50"/>
  <c r="Z29" i="50"/>
  <c r="M33" i="50"/>
  <c r="K59" i="50"/>
  <c r="Z32" i="50"/>
  <c r="Z38" i="50"/>
  <c r="M40" i="50"/>
  <c r="K60" i="50"/>
  <c r="R62" i="50"/>
  <c r="Z30" i="50"/>
  <c r="M39" i="50"/>
  <c r="Z19" i="50"/>
  <c r="M38" i="50"/>
  <c r="M28" i="50"/>
  <c r="AB13" i="50"/>
  <c r="K58" i="50"/>
  <c r="M29" i="50"/>
  <c r="Z31" i="50"/>
  <c r="Z39" i="50"/>
  <c r="E42" i="50"/>
  <c r="Z49" i="50"/>
  <c r="Z60" i="50"/>
  <c r="Z52" i="50"/>
  <c r="Z58" i="50"/>
  <c r="Z48" i="50"/>
  <c r="Z50" i="50"/>
  <c r="Z51" i="50"/>
  <c r="Z59" i="50"/>
  <c r="K30" i="50"/>
  <c r="K40" i="50"/>
  <c r="K29" i="50"/>
  <c r="K28" i="50"/>
  <c r="K39" i="50"/>
  <c r="K33" i="50"/>
  <c r="K32" i="50"/>
  <c r="K38" i="50"/>
  <c r="V42" i="50"/>
  <c r="AB18" i="50"/>
  <c r="AB9" i="50"/>
  <c r="AB20" i="50"/>
  <c r="AB8" i="50"/>
  <c r="AB10" i="50"/>
  <c r="AB12" i="50"/>
  <c r="V22" i="50"/>
  <c r="Z12" i="50"/>
  <c r="Z9" i="50"/>
  <c r="Z20" i="50"/>
  <c r="Z8" i="50"/>
  <c r="Z18" i="50"/>
  <c r="Z10" i="50"/>
  <c r="T22" i="50"/>
  <c r="C22" i="50"/>
  <c r="K20" i="50"/>
  <c r="K8" i="50"/>
  <c r="K11" i="50"/>
  <c r="K9" i="50"/>
  <c r="K10" i="50"/>
  <c r="K12" i="50"/>
  <c r="K18" i="50"/>
  <c r="K13" i="50"/>
  <c r="I22" i="50"/>
  <c r="E22" i="50"/>
  <c r="I5" i="46"/>
  <c r="M30" i="46"/>
  <c r="M32" i="46"/>
  <c r="M29" i="46"/>
  <c r="N5" i="46"/>
  <c r="P8" i="46"/>
  <c r="N8" i="46"/>
  <c r="P10" i="46"/>
  <c r="AB62" i="50"/>
  <c r="AB104" i="50"/>
  <c r="K84" i="50"/>
  <c r="AB124" i="50"/>
  <c r="M84" i="50"/>
  <c r="AB42" i="50"/>
  <c r="K104" i="50"/>
  <c r="M31" i="46"/>
  <c r="M22" i="50"/>
  <c r="M62" i="50"/>
  <c r="M19" i="46"/>
  <c r="M20" i="46"/>
  <c r="M21" i="46"/>
  <c r="M22" i="46"/>
  <c r="M124" i="50"/>
  <c r="Z104" i="50"/>
  <c r="Z124" i="50"/>
  <c r="Z84" i="50"/>
  <c r="AB84" i="50"/>
  <c r="Z42" i="50"/>
  <c r="K124" i="50"/>
  <c r="K62" i="50"/>
  <c r="M42" i="50"/>
  <c r="AB22" i="50"/>
  <c r="Z62" i="50"/>
  <c r="K42" i="50"/>
  <c r="Z22" i="50"/>
  <c r="K22" i="50"/>
  <c r="P11" i="46"/>
  <c r="D84" i="23"/>
  <c r="D90" i="23"/>
  <c r="E90" i="23"/>
  <c r="N12" i="46"/>
  <c r="D86" i="23"/>
  <c r="E86" i="23"/>
  <c r="D89" i="23"/>
  <c r="E89" i="23"/>
  <c r="D88" i="23"/>
  <c r="E88" i="23"/>
  <c r="D85" i="23"/>
  <c r="E85" i="23"/>
  <c r="D87" i="23"/>
  <c r="E87" i="23"/>
  <c r="E57" i="8"/>
  <c r="E58" i="8"/>
  <c r="E66" i="8"/>
  <c r="E61" i="8"/>
  <c r="E64" i="8"/>
  <c r="E59" i="8"/>
  <c r="E63" i="8"/>
  <c r="E56" i="8"/>
  <c r="E60" i="8"/>
  <c r="E65" i="8"/>
  <c r="E62" i="8"/>
  <c r="M57" i="8"/>
  <c r="E55" i="8"/>
  <c r="M56" i="8"/>
  <c r="M60" i="8"/>
  <c r="M63" i="8"/>
  <c r="M61" i="8"/>
  <c r="M62" i="8"/>
  <c r="M55" i="8"/>
  <c r="M59" i="8"/>
  <c r="R22" i="50"/>
  <c r="E67" i="8"/>
  <c r="M67" i="8"/>
  <c r="L182" i="50" l="1"/>
  <c r="K187" i="50"/>
  <c r="L178" i="50" s="1"/>
  <c r="L181" i="50"/>
  <c r="L180" i="50"/>
  <c r="L179" i="50"/>
  <c r="E178" i="50"/>
  <c r="E176" i="50"/>
  <c r="E177" i="50"/>
  <c r="E174" i="50"/>
  <c r="E173" i="50"/>
  <c r="E175" i="50"/>
  <c r="E183" i="50"/>
  <c r="E184" i="50"/>
  <c r="L161" i="50"/>
  <c r="E164" i="50"/>
  <c r="L159" i="50"/>
  <c r="L162" i="50"/>
  <c r="E154" i="50"/>
  <c r="E156" i="50"/>
  <c r="K167" i="50"/>
  <c r="E163" i="50"/>
  <c r="E153" i="50"/>
  <c r="E155" i="50"/>
  <c r="E165" i="50"/>
  <c r="E157" i="50"/>
  <c r="E143" i="50"/>
  <c r="E133" i="50"/>
  <c r="E137" i="50"/>
  <c r="E135" i="50"/>
  <c r="E136" i="50"/>
  <c r="E138" i="50"/>
  <c r="E134" i="50"/>
  <c r="E144" i="50"/>
  <c r="E145" i="50"/>
  <c r="K135" i="50"/>
  <c r="K147" i="50"/>
  <c r="L139" i="50" s="1"/>
  <c r="J179" i="50"/>
  <c r="J182" i="50"/>
  <c r="J181" i="50"/>
  <c r="C173" i="50"/>
  <c r="J175" i="50"/>
  <c r="J174" i="50"/>
  <c r="J176" i="50"/>
  <c r="J173" i="50"/>
  <c r="J177" i="50"/>
  <c r="J178" i="50"/>
  <c r="C178" i="50"/>
  <c r="J184" i="50"/>
  <c r="C183" i="50"/>
  <c r="C177" i="50"/>
  <c r="C185" i="50"/>
  <c r="J185" i="50"/>
  <c r="C184" i="50"/>
  <c r="C174" i="50"/>
  <c r="C175" i="50"/>
  <c r="J162" i="50"/>
  <c r="J161" i="50"/>
  <c r="J156" i="50"/>
  <c r="J155" i="50"/>
  <c r="C158" i="50"/>
  <c r="J163" i="50"/>
  <c r="C165" i="50"/>
  <c r="C163" i="50"/>
  <c r="J153" i="50"/>
  <c r="J154" i="50"/>
  <c r="J165" i="50"/>
  <c r="J157" i="50"/>
  <c r="C153" i="50"/>
  <c r="C164" i="50"/>
  <c r="C156" i="50"/>
  <c r="J158" i="50"/>
  <c r="C154" i="50"/>
  <c r="C157" i="50"/>
  <c r="J140" i="50"/>
  <c r="J138" i="50"/>
  <c r="J141" i="50"/>
  <c r="J143" i="50"/>
  <c r="J136" i="50"/>
  <c r="J133" i="50"/>
  <c r="C134" i="50"/>
  <c r="J139" i="50"/>
  <c r="J137" i="50"/>
  <c r="C136" i="50"/>
  <c r="C138" i="50"/>
  <c r="J134" i="50"/>
  <c r="C137" i="50"/>
  <c r="J142" i="50"/>
  <c r="J145" i="50"/>
  <c r="C133" i="50"/>
  <c r="C143" i="50"/>
  <c r="C135" i="50"/>
  <c r="C145" i="50"/>
  <c r="L177" i="50" l="1"/>
  <c r="L176" i="50"/>
  <c r="L185" i="50"/>
  <c r="L183" i="50"/>
  <c r="L175" i="50"/>
  <c r="L174" i="50"/>
  <c r="L184" i="50"/>
  <c r="L173" i="50"/>
  <c r="L187" i="50" s="1"/>
  <c r="E187" i="50"/>
  <c r="E167" i="50"/>
  <c r="L154" i="50"/>
  <c r="L155" i="50"/>
  <c r="L156" i="50"/>
  <c r="L157" i="50"/>
  <c r="L158" i="50"/>
  <c r="L163" i="50"/>
  <c r="L164" i="50"/>
  <c r="L165" i="50"/>
  <c r="L153" i="50"/>
  <c r="L144" i="50"/>
  <c r="E147" i="50"/>
  <c r="L136" i="50"/>
  <c r="L135" i="50"/>
  <c r="L137" i="50"/>
  <c r="L138" i="50"/>
  <c r="L140" i="50"/>
  <c r="L141" i="50"/>
  <c r="L142" i="50"/>
  <c r="L143" i="50"/>
  <c r="L134" i="50"/>
  <c r="L145" i="50"/>
  <c r="L133" i="50"/>
  <c r="J187" i="50"/>
  <c r="C187" i="50"/>
  <c r="C167" i="50"/>
  <c r="J167" i="50"/>
  <c r="J147" i="50"/>
  <c r="C147" i="50"/>
  <c r="L167" i="50" l="1"/>
  <c r="L147" i="50"/>
</calcChain>
</file>

<file path=xl/sharedStrings.xml><?xml version="1.0" encoding="utf-8"?>
<sst xmlns="http://schemas.openxmlformats.org/spreadsheetml/2006/main" count="3576" uniqueCount="645">
  <si>
    <t xml:space="preserve">Wealth for Health? Affordability of a Healthy and Sustainable Diet – A Food Basket Study </t>
  </si>
  <si>
    <t>Supplementary material 4</t>
  </si>
  <si>
    <t>This file provides</t>
  </si>
  <si>
    <t>- Assessed prices for conventional and organic food products in REWE with product name, price and quantity</t>
  </si>
  <si>
    <t>- Assessed prices for conventional and organic food products in ALDI Süd with product name, price and quantity</t>
  </si>
  <si>
    <t>- Quantities per day and month for the girl in the reference family</t>
  </si>
  <si>
    <t>- Quantities per day and month for the boy in the reference family</t>
  </si>
  <si>
    <t>- Quantities per day and month for the mother in the reference family</t>
  </si>
  <si>
    <t>- Quantities per day and month for the father in the reference family</t>
  </si>
  <si>
    <t>- Calculation of total cost and affordabiliy</t>
  </si>
  <si>
    <t>- Creation of graphs</t>
  </si>
  <si>
    <t>- References</t>
  </si>
  <si>
    <t>Planetary Health Diet</t>
  </si>
  <si>
    <t>Price list REWE</t>
  </si>
  <si>
    <t>May 2023</t>
  </si>
  <si>
    <t>Conventional shopping style</t>
  </si>
  <si>
    <t>Organic shopping style</t>
  </si>
  <si>
    <t>Food group</t>
  </si>
  <si>
    <t>Food subgroup and 
representative food items</t>
  </si>
  <si>
    <t>Product name</t>
  </si>
  <si>
    <t>Product price (€)</t>
  </si>
  <si>
    <t>Price per kg (€)</t>
  </si>
  <si>
    <r>
      <t>1) Whole grains</t>
    </r>
    <r>
      <rPr>
        <b/>
        <vertAlign val="superscript"/>
        <sz val="12"/>
        <color theme="1"/>
        <rFont val="Calibri (Textkörper)"/>
      </rPr>
      <t>1</t>
    </r>
  </si>
  <si>
    <t>Rice, wheat, corn, other</t>
  </si>
  <si>
    <t>Whole grain rice, uncooked</t>
  </si>
  <si>
    <t>Oryza Natur-Reis 1kg</t>
  </si>
  <si>
    <t>REWE Bio Naturreis Spitzen-Langkorn 1kg</t>
  </si>
  <si>
    <t>Whole grain bread</t>
  </si>
  <si>
    <t>ja! Roggen-Vollkornbrot 500g</t>
  </si>
  <si>
    <t>REWE Bio Roggenvollkornbrot 500g</t>
  </si>
  <si>
    <t>Whole grain bread rolls</t>
  </si>
  <si>
    <t>ja! Mehrkornbrötchen 8 Stück 560g</t>
  </si>
  <si>
    <t>REWE Bio Mehrkorn Landbrötchen 300g</t>
  </si>
  <si>
    <t>Oat flakes, tender</t>
  </si>
  <si>
    <t>ja! Zarte Haferflocken 500g</t>
  </si>
  <si>
    <t>REWE Bio Haferflocken 500g</t>
  </si>
  <si>
    <t>Whole grain noodles, uncooked</t>
  </si>
  <si>
    <t>Delverde Vollkorn Spaghetti 500g</t>
  </si>
  <si>
    <t>REWE Bio Vollkorn-Spaghetti 500g</t>
  </si>
  <si>
    <t>2) Tubers/starchy vegetables</t>
  </si>
  <si>
    <t>Potatoes</t>
  </si>
  <si>
    <t>Potatoes, uncooked, with peel</t>
  </si>
  <si>
    <t>Kartoffel vorwiegend Festkochend 2,5kg</t>
  </si>
  <si>
    <t>REWE Bio Kartoffeln 1,5kg</t>
  </si>
  <si>
    <r>
      <t>3) Vegetables</t>
    </r>
    <r>
      <rPr>
        <b/>
        <vertAlign val="superscript"/>
        <sz val="12"/>
        <color theme="1"/>
        <rFont val="Calibri (Textkörper)"/>
      </rPr>
      <t>2</t>
    </r>
  </si>
  <si>
    <t>Darkgreen</t>
  </si>
  <si>
    <r>
      <t>Kohlrabi, fresh</t>
    </r>
    <r>
      <rPr>
        <vertAlign val="superscript"/>
        <sz val="12"/>
        <color theme="1"/>
        <rFont val="Calibri (Textkörper)"/>
      </rPr>
      <t>3</t>
    </r>
  </si>
  <si>
    <t>Kohlrabi 1 Stück</t>
  </si>
  <si>
    <r>
      <t>Leek, fresh</t>
    </r>
    <r>
      <rPr>
        <vertAlign val="superscript"/>
        <sz val="12"/>
        <color theme="1"/>
        <rFont val="Calibri (Textkörper)"/>
      </rPr>
      <t>3</t>
    </r>
  </si>
  <si>
    <t>Porree 1 Stück</t>
  </si>
  <si>
    <t>Bio Porree im Bund ca. 500g</t>
  </si>
  <si>
    <t>Spinach, frozen</t>
  </si>
  <si>
    <t>REWE Beste Wahl Junger Spinat 450g</t>
  </si>
  <si>
    <t>REWE Bio Blattspinat 600g</t>
  </si>
  <si>
    <r>
      <t>Iceberg lettuce, fresh</t>
    </r>
    <r>
      <rPr>
        <vertAlign val="superscript"/>
        <sz val="12"/>
        <color theme="1"/>
        <rFont val="Calibri (Textkörper)"/>
      </rPr>
      <t>3</t>
    </r>
  </si>
  <si>
    <t>Eisbergsalat 1 Stück</t>
  </si>
  <si>
    <t>REWE Bio Eisbergsalat 1 Stück</t>
  </si>
  <si>
    <r>
      <t>Romaine lettuce, fresh</t>
    </r>
    <r>
      <rPr>
        <vertAlign val="superscript"/>
        <sz val="12"/>
        <color theme="1"/>
        <rFont val="Calibri (Textkörper)"/>
      </rPr>
      <t>3</t>
    </r>
  </si>
  <si>
    <t>REWE Beste Wahl Romana Salatherzen 3 Stück</t>
  </si>
  <si>
    <t>Bio Salat Romanaherzen 2 Stück</t>
  </si>
  <si>
    <r>
      <t>Cucumber, fresh</t>
    </r>
    <r>
      <rPr>
        <vertAlign val="superscript"/>
        <sz val="12"/>
        <rFont val="Calibri (Textkörper)"/>
      </rPr>
      <t>3</t>
    </r>
  </si>
  <si>
    <t>Salatgurke 1 Stück</t>
  </si>
  <si>
    <t>REWE Bio Gurke 1 Stück</t>
  </si>
  <si>
    <t>Zucchini, fresh</t>
  </si>
  <si>
    <t>Zucchini grün ca. 220g</t>
  </si>
  <si>
    <t>REWE Bio Zucchini 500g</t>
  </si>
  <si>
    <t>Broccoli, frozen</t>
  </si>
  <si>
    <t>Ja! Broccoli 1kg</t>
  </si>
  <si>
    <t>REWE Bio Broccoli 300g</t>
  </si>
  <si>
    <t>Red &amp; Orange</t>
  </si>
  <si>
    <t>Carrots, fresh</t>
  </si>
  <si>
    <t>Karotten 2kg</t>
  </si>
  <si>
    <t>REWE Bio Speisemöhren 1kg</t>
  </si>
  <si>
    <t>Tomates, whole, fresh</t>
  </si>
  <si>
    <t>Rispentomaten ca. 100g</t>
  </si>
  <si>
    <t>REWE Bio Rispentomaten 500g</t>
  </si>
  <si>
    <t>Tomates, strained, canned</t>
  </si>
  <si>
    <t>ja! Tomaten passiert 500g</t>
  </si>
  <si>
    <t>REWE Bio Passata passierte Tomaten 700g</t>
  </si>
  <si>
    <t>Tomatoes, chopped, canned</t>
  </si>
  <si>
    <t>ja! Tomaten fein gehackt in Tomatensaft 400g</t>
  </si>
  <si>
    <t>REWE Bio Tomaten in Stücken 400g</t>
  </si>
  <si>
    <t>Pepper, red/orange, fresh</t>
  </si>
  <si>
    <t>Paprika rot 500g</t>
  </si>
  <si>
    <t>REWE Bio Paprika rot ca. 200g</t>
  </si>
  <si>
    <r>
      <t>Aubergine, fresh</t>
    </r>
    <r>
      <rPr>
        <vertAlign val="superscript"/>
        <sz val="12"/>
        <color theme="1"/>
        <rFont val="Calibri (Textkörper)"/>
      </rPr>
      <t>3</t>
    </r>
  </si>
  <si>
    <t>Aubergine 1 Stück</t>
  </si>
  <si>
    <t>Bio Aubergine 1 Stück</t>
  </si>
  <si>
    <t>Others</t>
  </si>
  <si>
    <t>White cabbage, fresh</t>
  </si>
  <si>
    <t>Weißkohl ca. 1,5kg</t>
  </si>
  <si>
    <t>Cauliflower, frozen</t>
  </si>
  <si>
    <t>Ja! Blumenkohl 1000g</t>
  </si>
  <si>
    <t>Garten Bio Demeter Blumenkohl 300g</t>
  </si>
  <si>
    <t>Onions, fresh</t>
  </si>
  <si>
    <t>Speisezwiebeln 1kg im Netz</t>
  </si>
  <si>
    <t>Bio Zwiebeln gelb 750g im Netz</t>
  </si>
  <si>
    <t>Mushrooms, brown, fresh</t>
  </si>
  <si>
    <t>Champignons braun 1 Stück ca. 40g</t>
  </si>
  <si>
    <t>REWE Bio Champignons braun 250g</t>
  </si>
  <si>
    <t>Asparagus, white, fresh</t>
  </si>
  <si>
    <t>Spargel Weiß Klasse I 1kg</t>
  </si>
  <si>
    <r>
      <t>4) Fruits</t>
    </r>
    <r>
      <rPr>
        <b/>
        <vertAlign val="superscript"/>
        <sz val="12"/>
        <color theme="1"/>
        <rFont val="Calibri (Textkörper)"/>
      </rPr>
      <t>4</t>
    </r>
  </si>
  <si>
    <t>Apple, fresh</t>
  </si>
  <si>
    <t>Apfel rot 1kg</t>
  </si>
  <si>
    <t>REWE Bio Äpfel rot 1kg</t>
  </si>
  <si>
    <t>Pear, fresh</t>
  </si>
  <si>
    <t>Birne grün 1kg</t>
  </si>
  <si>
    <t>GUT BIO Bio-Birnen</t>
  </si>
  <si>
    <t>Plum, fresh</t>
  </si>
  <si>
    <t>Pflaumen blau/schwarz ca. 100g</t>
  </si>
  <si>
    <t>Raspberry, frozen</t>
  </si>
  <si>
    <t>REWE Beste Wahl Himbeeren 500g</t>
  </si>
  <si>
    <t>REWE Bio Himbeeren tiefgefroren 300g</t>
  </si>
  <si>
    <t>Blueberry, frozen</t>
  </si>
  <si>
    <t>REWE Beste Wahl Heidelbeeren 500g</t>
  </si>
  <si>
    <t>REWE Bio Naturland Kultur Heidelbeeren 300g</t>
  </si>
  <si>
    <t>Strawberry, frozen</t>
  </si>
  <si>
    <t>REWE Beste Wahl Erdbeeren 500g</t>
  </si>
  <si>
    <t>Table grapes,light, fresh</t>
  </si>
  <si>
    <t>Tafeltrauben hell kernlos 500g</t>
  </si>
  <si>
    <t>Bananas, fresh, with peel</t>
  </si>
  <si>
    <t>ja! Banane ca. 200g</t>
  </si>
  <si>
    <t>Bio Banane ca. 200g</t>
  </si>
  <si>
    <t>Apricots, fresh</t>
  </si>
  <si>
    <t>Aprikosen 500g</t>
  </si>
  <si>
    <t>Peach, fresh</t>
  </si>
  <si>
    <t>Pfirsiche 500g</t>
  </si>
  <si>
    <r>
      <t>5) Dairy foods</t>
    </r>
    <r>
      <rPr>
        <b/>
        <vertAlign val="superscript"/>
        <sz val="12"/>
        <color theme="1"/>
        <rFont val="Calibri (Textkörper)"/>
      </rPr>
      <t>5,6</t>
    </r>
  </si>
  <si>
    <t>Milk, 1,5% fat</t>
  </si>
  <si>
    <t>ja! Frische fettarme Milch 1,5% 1l</t>
  </si>
  <si>
    <t>REWE Bio Frische Weidemilch 1,5% 1l</t>
  </si>
  <si>
    <t>Yogurt, plain, 1,8% fat</t>
  </si>
  <si>
    <t>ja! Fettarmer Joghurt mild 1,5% Fett 500g</t>
  </si>
  <si>
    <t>REWE Bio Joghurt mild fettarm 500g</t>
  </si>
  <si>
    <t>Cream cheese, plain</t>
  </si>
  <si>
    <t>ja! Frischkäse Natur Doppelrahmstufe 300g</t>
  </si>
  <si>
    <t>REWE Bio Frischkäse Doppelrahmstufe 175g</t>
  </si>
  <si>
    <t>Curd cheese, lean</t>
  </si>
  <si>
    <t>ja! Speisequark Magerstufe 500g</t>
  </si>
  <si>
    <t>REWE Bio Speisequark Magerstufe 250g</t>
  </si>
  <si>
    <t>Mozzarella, 45% fat in dry matter</t>
  </si>
  <si>
    <t>ja! Mozzarella 125g</t>
  </si>
  <si>
    <t>REWE Bio Mozzarella 125g</t>
  </si>
  <si>
    <t>Sour cream, 10% fat</t>
  </si>
  <si>
    <t>ja! Saure Sahne 200g, 10% Fett</t>
  </si>
  <si>
    <t>REWE Bio Saure Sahne 200g, 10% Fett</t>
  </si>
  <si>
    <r>
      <t>Gouda, 50% fat in dry matter, slices</t>
    </r>
    <r>
      <rPr>
        <vertAlign val="superscript"/>
        <sz val="12"/>
        <color theme="1"/>
        <rFont val="Calibri (Textkörper)"/>
      </rPr>
      <t>7</t>
    </r>
  </si>
  <si>
    <t>ja! Gouda jung 48% Fett 400g</t>
  </si>
  <si>
    <t>REWE Bio Gouda 150g, 50 % Fett i. Tr.</t>
  </si>
  <si>
    <r>
      <t>Emmental, 45% fat in dry matter, slices</t>
    </r>
    <r>
      <rPr>
        <vertAlign val="superscript"/>
        <sz val="12"/>
        <color theme="1"/>
        <rFont val="Calibri (Textkörper)"/>
      </rPr>
      <t>7</t>
    </r>
  </si>
  <si>
    <t>ja! Emmentaler 250g</t>
  </si>
  <si>
    <t>REWE Bio Emmentaler 150g</t>
  </si>
  <si>
    <r>
      <t>Camembert</t>
    </r>
    <r>
      <rPr>
        <vertAlign val="superscript"/>
        <sz val="12"/>
        <color theme="1"/>
        <rFont val="Calibri (Textkörper)"/>
      </rPr>
      <t>7</t>
    </r>
  </si>
  <si>
    <t>ja! Französischer Weichkäse 200g</t>
  </si>
  <si>
    <t>REWE Bio Camembert 150g, 60 % Fett i.Tr.</t>
  </si>
  <si>
    <t>6) Protein sources</t>
  </si>
  <si>
    <t>Beef</t>
  </si>
  <si>
    <t>Minced beef, fresh</t>
  </si>
  <si>
    <t>Wilhelm Brandenburg Rinderhackfleisch 250g</t>
  </si>
  <si>
    <t>Bio Hackfleisch vom hessischen Weiderind</t>
  </si>
  <si>
    <t>Pork</t>
  </si>
  <si>
    <t>Schnitzel, fresh</t>
  </si>
  <si>
    <t>ja! Schweine-Schinkenschnitzel 600g</t>
  </si>
  <si>
    <t>REWE Bio Schweine Schnitzel ca. 300g</t>
  </si>
  <si>
    <t>Poultry</t>
  </si>
  <si>
    <t>Chicken breast, fresh</t>
  </si>
  <si>
    <t>ja! Hähnchen-Brustfilet 600g</t>
  </si>
  <si>
    <t>REWE Bio Hähnchenbrustfilet 320g</t>
  </si>
  <si>
    <t>Eggs, size M</t>
  </si>
  <si>
    <t>Eggs</t>
  </si>
  <si>
    <t>ja! Frische Eier aus Bodenhaltung 10 Stück</t>
  </si>
  <si>
    <t>REWE Bio Eier Spitz und Bube 6 Stück</t>
  </si>
  <si>
    <r>
      <t>Fish</t>
    </r>
    <r>
      <rPr>
        <b/>
        <vertAlign val="superscript"/>
        <sz val="12"/>
        <color theme="1"/>
        <rFont val="Calibri (Textkörper)"/>
      </rPr>
      <t>8</t>
    </r>
  </si>
  <si>
    <t>Salmon, frozen</t>
  </si>
  <si>
    <t>ja! Lachsfilet 250g</t>
  </si>
  <si>
    <t>REWE Bio Portionen vom Lachsfilet 250g</t>
  </si>
  <si>
    <t>Alaska pollock, frozen</t>
  </si>
  <si>
    <t>Golden Seafood Alaska Seelachsfilets, 1000 g</t>
  </si>
  <si>
    <t>Tuna, can</t>
  </si>
  <si>
    <t>ja! Thunfischfilets in eigenem Saft geschnitten 195g</t>
  </si>
  <si>
    <t>Followfish Thunfisch Filets in nativem Bio-Olivenöl extra 120g Nettofüllmenge 160g</t>
  </si>
  <si>
    <r>
      <t>Legumes</t>
    </r>
    <r>
      <rPr>
        <b/>
        <vertAlign val="superscript"/>
        <sz val="12"/>
        <color theme="1"/>
        <rFont val="Calibri (Textkörper)"/>
      </rPr>
      <t>9</t>
    </r>
  </si>
  <si>
    <t>Red lentils, uncooked</t>
  </si>
  <si>
    <t>Müller's Mühle Rote Linsen 500g</t>
  </si>
  <si>
    <t>REWE Bio Rote Linsen 500g</t>
  </si>
  <si>
    <t>Brown lentils, canned</t>
  </si>
  <si>
    <t>REWE Beste Wahl Braune Linsen 400g</t>
  </si>
  <si>
    <t>REWE Bio Braune Linsen 360g</t>
  </si>
  <si>
    <t>Red kidney beans, canned</t>
  </si>
  <si>
    <t>ja! Kidney-Bohnen rot 255g Nettofüllmenge: 400 ML</t>
  </si>
  <si>
    <t>REWE Bio Kidneybohnen 360g</t>
  </si>
  <si>
    <t>Green beans, frozen</t>
  </si>
  <si>
    <t>Ja! Brechbohnen 1000g</t>
  </si>
  <si>
    <t>REWE Bio Brechbohnen 450g</t>
  </si>
  <si>
    <t>Chickpeas, can</t>
  </si>
  <si>
    <t>ja! Kichererbsen 400g</t>
  </si>
  <si>
    <t>REWE Bio Kichererbsen 220g Nettofüllmenge: 330 ML</t>
  </si>
  <si>
    <t>White beans, can</t>
  </si>
  <si>
    <t>REWE Beste Wahl Weiße Bohnen 420g Nettofüllmenge: 680 ML</t>
  </si>
  <si>
    <t>Soy</t>
  </si>
  <si>
    <t>Tofu natural</t>
  </si>
  <si>
    <t>REWE Bio + vegan Tofu Natur 2x200g</t>
  </si>
  <si>
    <t>Smoked tofu</t>
  </si>
  <si>
    <t>REWE Bio + vegan Räucher-Tofu 2x175g</t>
  </si>
  <si>
    <t>Nuts</t>
  </si>
  <si>
    <t>Nuts, Peanuts</t>
  </si>
  <si>
    <t>Peanuts, with shell</t>
  </si>
  <si>
    <t>Erdnüsse Jumbo 400g</t>
  </si>
  <si>
    <r>
      <t>Nuts, tree nuts</t>
    </r>
    <r>
      <rPr>
        <b/>
        <vertAlign val="superscript"/>
        <sz val="12"/>
        <color theme="1"/>
        <rFont val="Calibri (Textkörper)"/>
      </rPr>
      <t>10</t>
    </r>
  </si>
  <si>
    <t>Almonds, raw</t>
  </si>
  <si>
    <t>ja! Mandeln ganze Kerne 200g</t>
  </si>
  <si>
    <t>REWE Bio Mandeln 200g</t>
  </si>
  <si>
    <t>Hazelnuts, raw</t>
  </si>
  <si>
    <t>ja! Haselnusskerne ganz 200g</t>
  </si>
  <si>
    <r>
      <t>7) Added fats</t>
    </r>
    <r>
      <rPr>
        <b/>
        <vertAlign val="superscript"/>
        <sz val="12"/>
        <color theme="1"/>
        <rFont val="Calibri (Textkörper)"/>
      </rPr>
      <t>11,12</t>
    </r>
  </si>
  <si>
    <t>Margarine</t>
  </si>
  <si>
    <t>Deli Reform Für meine Familie 500g Dreiviertelfett-Margarine 60%</t>
  </si>
  <si>
    <t>Alsan Bio-Margarine 250g Bio-Margarine mit Rohstoffen aus kbA, Fettgehalt: 80 %</t>
  </si>
  <si>
    <t>Unsaturated oils</t>
  </si>
  <si>
    <t>Rapeseed oil</t>
  </si>
  <si>
    <t>ja! Natives Rapsöl 500ml</t>
  </si>
  <si>
    <t>REWE Bio Rapsöl nativ 500ml</t>
  </si>
  <si>
    <t>Olive oil</t>
  </si>
  <si>
    <t>Moreno Natives Olivenöl extra Marasca 1l</t>
  </si>
  <si>
    <t>REWE Bio Natives Olivenöl naturtrüb 500ml</t>
  </si>
  <si>
    <t>Linseed oil</t>
  </si>
  <si>
    <t>Naturpura Leinöl 250ml</t>
  </si>
  <si>
    <t>Biozentrale Bio Lein-Öl 250ml</t>
  </si>
  <si>
    <t>Animal fat</t>
  </si>
  <si>
    <t>Butter, salted</t>
  </si>
  <si>
    <t>ja! Markenbutter mild gesäuert 250g</t>
  </si>
  <si>
    <t>Berchtesgadener Land Bio Alpenbutter mild 250g
Deutsche Markenbutter, mildgesäuerte Butter, 82% Fett</t>
  </si>
  <si>
    <r>
      <t>8) Added sugars and sweets</t>
    </r>
    <r>
      <rPr>
        <b/>
        <vertAlign val="superscript"/>
        <sz val="12"/>
        <color theme="1"/>
        <rFont val="Calibri (Textkörper)"/>
      </rPr>
      <t>13</t>
    </r>
  </si>
  <si>
    <t>Sugar, white</t>
  </si>
  <si>
    <t>ja! Raffinade-Zucker 1kg</t>
  </si>
  <si>
    <t>Südzucker Bio Rübenzucker 1kg</t>
  </si>
  <si>
    <t>Chocolate bar, whole milk</t>
  </si>
  <si>
    <t>ja! Alpenvollmilch-Schokolade 100g</t>
  </si>
  <si>
    <t>REWE Bio Edelvollmilch-Schokolade 100g</t>
  </si>
  <si>
    <t>Fruit gums</t>
  </si>
  <si>
    <t>nimm2 Lach Gummi Happies 325g</t>
  </si>
  <si>
    <t>REWE Bio + vegan Bunte Bären vegan 100g</t>
  </si>
  <si>
    <r>
      <t>Mineral water, medium, bottle</t>
    </r>
    <r>
      <rPr>
        <vertAlign val="superscript"/>
        <sz val="12"/>
        <color theme="1"/>
        <rFont val="Calibri (Textkörper)"/>
      </rPr>
      <t>15,16</t>
    </r>
  </si>
  <si>
    <t>ja! Mineralwasser Medium 1,5l
EINWEG</t>
  </si>
  <si>
    <r>
      <t>Coffee, grounded</t>
    </r>
    <r>
      <rPr>
        <vertAlign val="superscript"/>
        <sz val="12"/>
        <color theme="1"/>
        <rFont val="Calibri (Textkörper)"/>
      </rPr>
      <t>17</t>
    </r>
  </si>
  <si>
    <t>ja! kräftiger Röstkaffee 500g</t>
  </si>
  <si>
    <t>REWE Bio Röstkaffee gemahlen 500g</t>
  </si>
  <si>
    <r>
      <t>Tea, peppermint, in bag</t>
    </r>
    <r>
      <rPr>
        <vertAlign val="superscript"/>
        <sz val="12"/>
        <color theme="1"/>
        <rFont val="Calibri (Textkörper)"/>
      </rPr>
      <t>18</t>
    </r>
  </si>
  <si>
    <t>ja! Pfefferminztee 56g, 25 Beutel</t>
  </si>
  <si>
    <t>Bünting Tee Bio-Pfefferminze 40g, 20 Beutel</t>
  </si>
  <si>
    <r>
      <t>Beer, pils, bottle</t>
    </r>
    <r>
      <rPr>
        <vertAlign val="superscript"/>
        <sz val="12"/>
        <color theme="1"/>
        <rFont val="Calibri (Textkörper)"/>
      </rPr>
      <t>15</t>
    </r>
  </si>
  <si>
    <t>Original Oettinger Pils 20x0,5l
MEHRWEG</t>
  </si>
  <si>
    <t>Schmucker Odenwälder Bio Landbier 10x0,5l
MEHRWEG</t>
  </si>
  <si>
    <t>Red wine, dry, bottle</t>
  </si>
  <si>
    <t>Valle Central Pacific Bird Rotwein Cabernet Sauvignon 0,75l</t>
  </si>
  <si>
    <t>Los Cantaros Rotwein Bio La Mancha trocken 0,75l</t>
  </si>
  <si>
    <r>
      <t>Tea, peppermint, in bags</t>
    </r>
    <r>
      <rPr>
        <vertAlign val="superscript"/>
        <sz val="12"/>
        <color theme="1"/>
        <rFont val="Calibri (Textkörper)"/>
      </rPr>
      <t>18</t>
    </r>
  </si>
  <si>
    <r>
      <t>Soft drink, Cola</t>
    </r>
    <r>
      <rPr>
        <vertAlign val="superscript"/>
        <sz val="12"/>
        <color theme="1"/>
        <rFont val="Calibri (Textkörper)"/>
      </rPr>
      <t>15</t>
    </r>
  </si>
  <si>
    <t>ja! Cola 1,5l
EINWEG</t>
  </si>
  <si>
    <t>fritz-kola Bio 0,33l
MEHRWEG</t>
  </si>
  <si>
    <r>
      <t>Fruit juice, orange juice</t>
    </r>
    <r>
      <rPr>
        <vertAlign val="superscript"/>
        <sz val="12"/>
        <color theme="1"/>
        <rFont val="Calibri (Textkörper)"/>
      </rPr>
      <t>19</t>
    </r>
  </si>
  <si>
    <t>ja! Orangensaft 1l
EINWEG</t>
  </si>
  <si>
    <t>REWE Bio Orangensaft 1l</t>
  </si>
  <si>
    <t>TOTAL ITEMS adults</t>
  </si>
  <si>
    <t>TOTAL ITEMS children</t>
  </si>
  <si>
    <t>Color code</t>
  </si>
  <si>
    <t>Price list ALDI Süd</t>
  </si>
  <si>
    <t>GUT BIO Natur Reis</t>
  </si>
  <si>
    <t>ZITTERWÄLDER Rheinisches Vollkornbrot kernig 400g</t>
  </si>
  <si>
    <t>GUT BIO Bio-Brot Sortiment 500 g Bio Roggenvollkornbrot</t>
  </si>
  <si>
    <t>GOLDÄHREN Landbrötchen Mehrkorn 8 Stück 560g</t>
  </si>
  <si>
    <t>GUT BIO Bio-Steinofen-brötchen Bio Mehrkornbrötchen teilgebacken 380g</t>
  </si>
  <si>
    <t>Knusperone Haferflocken zart 500g</t>
  </si>
  <si>
    <t>Bio-Haferflocken 500g</t>
  </si>
  <si>
    <t>GUT BIO Bio-Fusilli Vollkornhartweizen 500g</t>
  </si>
  <si>
    <t>Natur Lieblinge Speisekartoffeln vorwiegend festkochend 2,5kg</t>
  </si>
  <si>
    <t>Bio-Speisefrüh-kartoffeln</t>
  </si>
  <si>
    <t>Kohlrabi</t>
  </si>
  <si>
    <t>Lauch/Porree</t>
  </si>
  <si>
    <t>ALL SEASONS Gemüsesortiment A Blattspinat  1000g</t>
  </si>
  <si>
    <t>GUT BIO Bio-Gemüse Sortiment Blattspinat, 750g</t>
  </si>
  <si>
    <t>Eisbergsalat</t>
  </si>
  <si>
    <t>BESTES AUS DER REGION Salatherzen 21 Mini-Romana</t>
  </si>
  <si>
    <t>GUT BIO Bio-Salatherzen 2er Mini-Romana</t>
  </si>
  <si>
    <t>Gurke</t>
  </si>
  <si>
    <t>GUT BIO Bio-Gurke</t>
  </si>
  <si>
    <t>Zucchini</t>
  </si>
  <si>
    <t>GUT BIO Bio-Zucchini</t>
  </si>
  <si>
    <t>ALL SEASONS Gemüsesortiment B Brokkoli-Rößchen 1000g</t>
  </si>
  <si>
    <t>Karotten</t>
  </si>
  <si>
    <t>GUT BIO Bio-Karotten 1kg</t>
  </si>
  <si>
    <t>Rispentomaten</t>
  </si>
  <si>
    <t>GUT BIO Bio-Tomaten</t>
  </si>
  <si>
    <t>KINGS CROWN Tomaten, passiert 500g</t>
  </si>
  <si>
    <t>GUT BIO Bio Passierte Tomaten 500ml</t>
  </si>
  <si>
    <t>KINGS CROWN Tomaten, gehackt, Nettofüllmenge: 425ml</t>
  </si>
  <si>
    <t>GUT BIO Bio Tomaten, gehackt 240g Abtropfgewicht, Nettofüllmenge 400g</t>
  </si>
  <si>
    <t>Paprika orange lose</t>
  </si>
  <si>
    <t>GUT BIO Bio-Paprika 400g</t>
  </si>
  <si>
    <t>Auberginen</t>
  </si>
  <si>
    <t>ALL SEASONS Gemüsesortiment A Blumenkohl -Rößchen 1000g</t>
  </si>
  <si>
    <t>GUT BIO Bio-Gemüse-Sortiment B Blumenkohl 750g</t>
  </si>
  <si>
    <t>Natur Lieblinge Zwiebeln gelb</t>
  </si>
  <si>
    <t>Champignons braun 400g</t>
  </si>
  <si>
    <t>Bestes aus der Region Bio Champignons braun 250g</t>
  </si>
  <si>
    <t>Spargel weiß, lose</t>
  </si>
  <si>
    <t xml:space="preserve"> </t>
  </si>
  <si>
    <t>Natur Lieblinge Äpfel Krumme Dinger 2kg</t>
  </si>
  <si>
    <t>GUT BIO Bio-Apfel Krumme Dinger 2kg</t>
  </si>
  <si>
    <t>Natur Lieblinge Birnen Conference</t>
  </si>
  <si>
    <t>NATUR LIEBLINGE Pflaumen Erlebnissorten</t>
  </si>
  <si>
    <t>ALL SEASONS Himbeeren 500g</t>
  </si>
  <si>
    <t>GUT BIO Bio Obst-Sortiment Himbeeren 300g</t>
  </si>
  <si>
    <t>GUT BIO Bio Obst-Sortiment Kultur-Heidelbeeren 300g</t>
  </si>
  <si>
    <t>ALL SEASONS Obst-Sortiment Erdbeeren 750g</t>
  </si>
  <si>
    <t>GUT BIO Bio Obst-Sortiment Erdbeeren 300g</t>
  </si>
  <si>
    <t>Trauben hell kernlos</t>
  </si>
  <si>
    <t>Rainforest Alliance Bananen</t>
  </si>
  <si>
    <t>Bio-Fairtrade Bananen</t>
  </si>
  <si>
    <t>NATUR LIEBLINGE Aprikosen 500g</t>
  </si>
  <si>
    <t>NATUR LIEBLINGE Pfirsiche 500g</t>
  </si>
  <si>
    <t>Fettarme Milch 1,5%, Haltungsform 2, 1 Liter</t>
  </si>
  <si>
    <t>GUT BIO Bio-fettarme Milch 1,5% Fett, 1 Liter</t>
  </si>
  <si>
    <t>MILSANI Joghurt 1,5% Fett, 500g</t>
  </si>
  <si>
    <t>GUT BIO Bio-Joghurt 1,8% Fett, 500g</t>
  </si>
  <si>
    <t>Hofburger Frischkäse Natur 300g</t>
  </si>
  <si>
    <t>MILSANI Speisequark Magerstufe</t>
  </si>
  <si>
    <t>GUT BIO Bio-Quark Magerstufe 250g</t>
  </si>
  <si>
    <t>CUCINA NOBILE Mozzarella Classic, 125g</t>
  </si>
  <si>
    <t>GUT BIO Bio-Mozzarella 125g</t>
  </si>
  <si>
    <t>MILSANI Saure Sahne 10% Fett, 200g</t>
  </si>
  <si>
    <t>GUT Bio Bio-Saure Sahne 200g</t>
  </si>
  <si>
    <t>Hofburger Gouda jung in Scheiben 250g</t>
  </si>
  <si>
    <t>GUT BIO Bio-Käsegenuss 200g</t>
  </si>
  <si>
    <t>Hofburger Emmentaler in Scheiben 250g</t>
  </si>
  <si>
    <t>ROI DE TREFLE Französischer Weichkäse 200g</t>
  </si>
  <si>
    <t>GUT BIO Bio Frz. Weichkäse 180g</t>
  </si>
  <si>
    <t>Meine Metzgerei Hackfleisch vom Rind 500g</t>
  </si>
  <si>
    <t>GUT BIO Bio-Hackfleisch vom Rind</t>
  </si>
  <si>
    <t>MEINE METZGEREI Schnitzel vom Schwein aus dem Schinken, 500g</t>
  </si>
  <si>
    <t>GUT BIO Bio-Schnitzel vom Schwein, 250g</t>
  </si>
  <si>
    <t>Meine Metzgerei Hähnchen Brustfilet Teilstück 600g</t>
  </si>
  <si>
    <t>GUT BIO Bio-Hähnchen Brustfilet</t>
  </si>
  <si>
    <t>Landfreude Eier aus Bodenhaltung 10 Stück</t>
  </si>
  <si>
    <t>GUIT BIO Eier aus ökologischer Erzeugung 10 Stück</t>
  </si>
  <si>
    <t>GOLDEN SEAFOOD Lachsfilets 250 g</t>
  </si>
  <si>
    <t>GUT BIO Bio-Lachsfilets 250 g</t>
  </si>
  <si>
    <t>Almare Thunfisch im eigenen Saft 150g Abtr.-Gew. Nettogewicht: 195g</t>
  </si>
  <si>
    <t>GUT BIO Bio-Hülsenfrüchte 500g Rote Linsen</t>
  </si>
  <si>
    <t>KINGS CROWN Kidneybohnen, rot, Nettofüllmenge 400g</t>
  </si>
  <si>
    <t>GUT BIO Bio-Gemüse Kidneybohnen 240g Abtropfgewicht, Füllmenge 360g</t>
  </si>
  <si>
    <t>GUT BIO Bio-Gemüse-Sortiment B Junge Brechbohnen 750g</t>
  </si>
  <si>
    <t>KINGS CROWN Kichererbsen Nettogewicht 400g</t>
  </si>
  <si>
    <t>GUT BIO Bio-Gemüse Füllmenge: 360g</t>
  </si>
  <si>
    <t>KINGS CROWN Weiße Riesenbohnen im Aufguss Nettogewicht 295g</t>
  </si>
  <si>
    <t>MEIN VEGGI TAG Bio-Tofu Natur 400g</t>
  </si>
  <si>
    <t>MEIN VEGGI TAG Bio-Tofu Geräuchert 350g</t>
  </si>
  <si>
    <t>Farmer Naturals Erdnüsse in Schalen</t>
  </si>
  <si>
    <t>Farmer Naturals Mandeln 200g</t>
  </si>
  <si>
    <t>GUT BIO Bio-Mandelmix 200g</t>
  </si>
  <si>
    <t>Farmer Naturals Haselnuss-Kerne 200g</t>
  </si>
  <si>
    <t>BELLASAN Pflanzenmargarine 500g</t>
  </si>
  <si>
    <t>BELLASAN Pflanzenöl 1L</t>
  </si>
  <si>
    <t>GUT BIO Bio-Rapsöl 500ml</t>
  </si>
  <si>
    <t>Cantinelle Natives Olivenöl extra</t>
  </si>
  <si>
    <t>GUT BIO Bio-Olivenöl</t>
  </si>
  <si>
    <t>Schneekoppe Bio-Leinöl 250ml</t>
  </si>
  <si>
    <t>MILSANI Deutsche Markenbutter 250g</t>
  </si>
  <si>
    <t>DIADEM Zucker Feine Körnung 1000g</t>
  </si>
  <si>
    <t>Choceur Vollmilch Schokolade 100g</t>
  </si>
  <si>
    <t>FAIR Bio-Fairtrade Schokolade Schweizer Bio-Alpenmilchschokolade 100g</t>
  </si>
  <si>
    <t>SWEET LAND Fruchtgummi Premium</t>
  </si>
  <si>
    <t>GUT BIO Bio-Fruchtgummi 200g</t>
  </si>
  <si>
    <t>Quellbrunn Mineralwasser medium 1,5 L</t>
  </si>
  <si>
    <t>AMAROY Kaffee Milde Bohne 500g</t>
  </si>
  <si>
    <t>AMAROY Bio-Kaffee 500g</t>
  </si>
  <si>
    <t>Westcliff Pfefferminz-tee, 56,25g, 25 Aufgussbeutel a 2,25g, 0,03 EUR/Tasse</t>
  </si>
  <si>
    <t>Karlskrone Premoum-Pilsener 6x0,5L</t>
  </si>
  <si>
    <t>Dornfelder QbA trocken, 0,75</t>
  </si>
  <si>
    <t>Bio Montepulciano d'Abruzzo Italien, trocken, 0,75L</t>
  </si>
  <si>
    <t>River, Cola, 1,5L</t>
  </si>
  <si>
    <t>RIO D' ORO Orangensaft 1L</t>
  </si>
  <si>
    <t>GUT BIO Bio-Orangen-Direktsaft, 0,75L</t>
  </si>
  <si>
    <t xml:space="preserve">Planetary Health Diet </t>
  </si>
  <si>
    <t>Reference diet for an intake of 2500 kcal</t>
  </si>
  <si>
    <t>Share</t>
  </si>
  <si>
    <t>Reference diet (g/day)</t>
  </si>
  <si>
    <r>
      <t xml:space="preserve">Reference diet (g/week) 
</t>
    </r>
    <r>
      <rPr>
        <i/>
        <sz val="12"/>
        <color theme="1"/>
        <rFont val="Calibri (Textkörper)"/>
      </rPr>
      <t>7 days</t>
    </r>
  </si>
  <si>
    <t>2500 kcal/day</t>
  </si>
  <si>
    <t>1) Whole grains</t>
  </si>
  <si>
    <t>3) Vegetables</t>
  </si>
  <si>
    <t>Kohlrabi, fresh</t>
  </si>
  <si>
    <t>Leek, fresh</t>
  </si>
  <si>
    <t>Iceberg lettuce, fresh</t>
  </si>
  <si>
    <t>Romaine lettuce, fresh</t>
  </si>
  <si>
    <t>Cucumber, fresh</t>
  </si>
  <si>
    <t>Aubergine, fresh</t>
  </si>
  <si>
    <t>Mushrooms, white, fresh</t>
  </si>
  <si>
    <t>4) Fruits</t>
  </si>
  <si>
    <t>5) Dairy foods</t>
  </si>
  <si>
    <t>Gouda, 50% fat in dry matter, slices</t>
  </si>
  <si>
    <t>Emmental, 45% fat in dry matter, slices</t>
  </si>
  <si>
    <t xml:space="preserve">Camembert </t>
  </si>
  <si>
    <t>Calculation meat consumption for a light meat reduction and amount of meat substitues</t>
  </si>
  <si>
    <t>Meat consumption four times a week (g/week):</t>
  </si>
  <si>
    <t>Calcuation of share light meat reduction</t>
  </si>
  <si>
    <t>Reference (g/week)</t>
  </si>
  <si>
    <t>Share (%)</t>
  </si>
  <si>
    <t>Fish</t>
  </si>
  <si>
    <t>Total</t>
  </si>
  <si>
    <t>Legumes</t>
  </si>
  <si>
    <t>Nuts, tree nuts</t>
  </si>
  <si>
    <t>7) Added fats</t>
  </si>
  <si>
    <t>8) Added sugars and sweets</t>
  </si>
  <si>
    <t>Mineral water, medium, bottle</t>
  </si>
  <si>
    <t>Coffee, grounded</t>
  </si>
  <si>
    <t>Tea, peppermint, in bag</t>
  </si>
  <si>
    <t>Beer, pils</t>
  </si>
  <si>
    <t>Tea, peppermint, in bags</t>
  </si>
  <si>
    <t>Soft drink, Cola</t>
  </si>
  <si>
    <t>Fruit juice, orange juice</t>
  </si>
  <si>
    <t>Total items adults</t>
  </si>
  <si>
    <t>Total kcal</t>
  </si>
  <si>
    <t>Total items children</t>
  </si>
  <si>
    <t>Girl, 10-13 years with an intake of 2000 kcal/day</t>
  </si>
  <si>
    <t>Converstion factor for energy requirement:</t>
  </si>
  <si>
    <t>REWE</t>
  </si>
  <si>
    <t>ALDI Süd</t>
  </si>
  <si>
    <t>2000 kcal/day</t>
  </si>
  <si>
    <t>Price reference/day (€)</t>
  </si>
  <si>
    <t>Total items</t>
  </si>
  <si>
    <t>Total cost</t>
  </si>
  <si>
    <t>PER DAY</t>
  </si>
  <si>
    <t>PER MONTH</t>
  </si>
  <si>
    <t>Boy, 10-13 years with an intake of 2200 kcal/day</t>
  </si>
  <si>
    <t xml:space="preserve">2200 kcal/day </t>
  </si>
  <si>
    <t>Mother, 25-51 years with an intake of 2100 kcal/day</t>
  </si>
  <si>
    <t xml:space="preserve">2100 kcal/day </t>
  </si>
  <si>
    <t>Beer, pils, 0,33l bottle</t>
  </si>
  <si>
    <t>Red wine, dry, 0,75L bottle</t>
  </si>
  <si>
    <t>Father, 25-51 years with an intake of 2700 kcal/day</t>
  </si>
  <si>
    <t xml:space="preserve">2700 kcal/day </t>
  </si>
  <si>
    <t>Paprika, red/orange, fresh</t>
  </si>
  <si>
    <t>2500 kcal/ day</t>
  </si>
  <si>
    <t>Calculation meat consumption for a moderate meat reduction and amount of meat substitues</t>
  </si>
  <si>
    <t>Meat consumption twice a week (g/week):</t>
  </si>
  <si>
    <t>2 portions of meat need to be substituted by meat alternatives</t>
  </si>
  <si>
    <t>Replacement</t>
  </si>
  <si>
    <t>g/week</t>
  </si>
  <si>
    <t>Portion 1</t>
  </si>
  <si>
    <t>Tofu</t>
  </si>
  <si>
    <t>Portion2</t>
  </si>
  <si>
    <t>Calcuation of share moderate meat reduction</t>
  </si>
  <si>
    <t>Numbers in red were changed according to the meat replacement</t>
  </si>
  <si>
    <t xml:space="preserve">2000 kcal/day </t>
  </si>
  <si>
    <t>2200 kcal/day</t>
  </si>
  <si>
    <t>kcal/ day 2700</t>
  </si>
  <si>
    <t>Calculation of meat consumption for a heavy meat reduction and amount of meat substitues</t>
  </si>
  <si>
    <t>Meat consumption once every two weeks (g/week):</t>
  </si>
  <si>
    <t>3,5 portions of meat need to be substituted by meat alternatives</t>
  </si>
  <si>
    <t>Alternative</t>
  </si>
  <si>
    <t>Portion 3</t>
  </si>
  <si>
    <t>Portion 4</t>
  </si>
  <si>
    <t>Calcuation of share heavy meat reduction</t>
  </si>
  <si>
    <t>kcal in total</t>
  </si>
  <si>
    <t>kcal/ day 2200</t>
  </si>
  <si>
    <t>Red kidneybeans, canned</t>
  </si>
  <si>
    <t>2700 kcal/day</t>
  </si>
  <si>
    <t>Total cost per month for an average family with two adults and two children</t>
  </si>
  <si>
    <t xml:space="preserve">Influence of shopping style and meat frequency level  </t>
  </si>
  <si>
    <t>Influence organic</t>
  </si>
  <si>
    <t>Influence meat consumption</t>
  </si>
  <si>
    <t>LIGHT</t>
  </si>
  <si>
    <t>Total Cost/Month (rounded)</t>
  </si>
  <si>
    <t>Diet</t>
  </si>
  <si>
    <t>Shopping style</t>
  </si>
  <si>
    <t>Costs</t>
  </si>
  <si>
    <t>Girl</t>
  </si>
  <si>
    <t>Boy</t>
  </si>
  <si>
    <t>Mother</t>
  </si>
  <si>
    <t>Father</t>
  </si>
  <si>
    <t>Light</t>
  </si>
  <si>
    <t>Conventional</t>
  </si>
  <si>
    <t>Costs/Month</t>
  </si>
  <si>
    <t>Organic</t>
  </si>
  <si>
    <t>Light vs. Moderate</t>
  </si>
  <si>
    <t>Moderate</t>
  </si>
  <si>
    <t>Moderate vs. Heavy</t>
  </si>
  <si>
    <t>Light vs. Heavy</t>
  </si>
  <si>
    <t>AVERAGE</t>
  </si>
  <si>
    <t>Heavy</t>
  </si>
  <si>
    <t>Average</t>
  </si>
  <si>
    <t>MODERATE</t>
  </si>
  <si>
    <t>Minimum required income</t>
  </si>
  <si>
    <t>30% of disposable income</t>
  </si>
  <si>
    <t>Food basket costs</t>
  </si>
  <si>
    <t>Required income per month</t>
  </si>
  <si>
    <t>Light Conventional</t>
  </si>
  <si>
    <t>Light Organic</t>
  </si>
  <si>
    <t>Moderate Conventional</t>
  </si>
  <si>
    <t>Moderate Organic</t>
  </si>
  <si>
    <t>Heavy Conventional</t>
  </si>
  <si>
    <t>Heavy Organic</t>
  </si>
  <si>
    <t>HEAVY</t>
  </si>
  <si>
    <t>15% of disposable income</t>
  </si>
  <si>
    <r>
      <t>Income distribution in Germany (%)</t>
    </r>
    <r>
      <rPr>
        <b/>
        <vertAlign val="superscript"/>
        <sz val="12"/>
        <color theme="1"/>
        <rFont val="Calibri (Textkörper)"/>
      </rPr>
      <t>20</t>
    </r>
  </si>
  <si>
    <t>Two adults with two children</t>
  </si>
  <si>
    <t xml:space="preserve">Income per year </t>
  </si>
  <si>
    <t>Per month</t>
  </si>
  <si>
    <t xml:space="preserve">Distribution </t>
  </si>
  <si>
    <t>under 16 300</t>
  </si>
  <si>
    <t>16 300€ - 22 000€</t>
  </si>
  <si>
    <t>22 000€ - 28 400€</t>
  </si>
  <si>
    <t>28 400€ - 38 100€</t>
  </si>
  <si>
    <t>from 38 100 €</t>
  </si>
  <si>
    <t xml:space="preserve">This information was used in the discussion. The data was only available per year, therefore the lowest range was chosen and divided by 12 to calculate the monthly income. </t>
  </si>
  <si>
    <t>Children (boy)</t>
  </si>
  <si>
    <t>Adults (father)</t>
  </si>
  <si>
    <t>ALDI SÜD</t>
  </si>
  <si>
    <t xml:space="preserve">Conventional </t>
  </si>
  <si>
    <t>Category costs per day</t>
  </si>
  <si>
    <t>Category Costs per day</t>
  </si>
  <si>
    <t>in €</t>
  </si>
  <si>
    <t>3) Vegetable</t>
  </si>
  <si>
    <t>Meat</t>
  </si>
  <si>
    <t>Legumes and soy</t>
  </si>
  <si>
    <t>Total costs per day</t>
  </si>
  <si>
    <t xml:space="preserve">MODERATE </t>
  </si>
  <si>
    <t>Total cost per day</t>
  </si>
  <si>
    <t>Children (girl)</t>
  </si>
  <si>
    <t>Adults (mother)</t>
  </si>
  <si>
    <t>Vegetables</t>
  </si>
  <si>
    <t>kg/year</t>
  </si>
  <si>
    <t>g/year</t>
  </si>
  <si>
    <t>g/day</t>
  </si>
  <si>
    <t xml:space="preserve">Share </t>
  </si>
  <si>
    <t>Comment</t>
  </si>
  <si>
    <t>White cabbage</t>
  </si>
  <si>
    <t>Brussels sprout</t>
  </si>
  <si>
    <t>excluded, share less than 1%</t>
  </si>
  <si>
    <t>Cauliflower</t>
  </si>
  <si>
    <t>Carrots</t>
  </si>
  <si>
    <t>Celery</t>
  </si>
  <si>
    <t>Leek</t>
  </si>
  <si>
    <t>Spinach</t>
  </si>
  <si>
    <t>Asparagus</t>
  </si>
  <si>
    <t>Iceberg lettue</t>
  </si>
  <si>
    <t>Romaine lettuce</t>
  </si>
  <si>
    <t>Oniens</t>
  </si>
  <si>
    <t>Tomato</t>
  </si>
  <si>
    <t>Cucumber</t>
  </si>
  <si>
    <t>Mushrooms</t>
  </si>
  <si>
    <t>*</t>
  </si>
  <si>
    <t>*4 vegetables were added which represent the category "Others", in equal amounts</t>
  </si>
  <si>
    <t>In total</t>
  </si>
  <si>
    <t>Vegetable</t>
  </si>
  <si>
    <t>Pepper, red/orange</t>
  </si>
  <si>
    <t>Aubergine</t>
  </si>
  <si>
    <t>Broccoli</t>
  </si>
  <si>
    <t>New share for the PHD food basket, categorised by vegetable group</t>
  </si>
  <si>
    <t>Darkgreen vegetables</t>
  </si>
  <si>
    <t>Red and organge vegetables</t>
  </si>
  <si>
    <t>Other vegetables</t>
  </si>
  <si>
    <t>Onions</t>
  </si>
  <si>
    <t>Iceberg lettuce</t>
  </si>
  <si>
    <t>Pepper</t>
  </si>
  <si>
    <t>Fruits</t>
  </si>
  <si>
    <t>New share for the PHD food basket</t>
  </si>
  <si>
    <t>Fruit</t>
  </si>
  <si>
    <t>Appel</t>
  </si>
  <si>
    <t>Pear</t>
  </si>
  <si>
    <t>Cherries</t>
  </si>
  <si>
    <t>excluded, not available</t>
  </si>
  <si>
    <t>Plum</t>
  </si>
  <si>
    <t>Apricots</t>
  </si>
  <si>
    <t>Peach</t>
  </si>
  <si>
    <t>Raspberry</t>
  </si>
  <si>
    <t>Currants</t>
  </si>
  <si>
    <t>Blueberry</t>
  </si>
  <si>
    <t>Strawberry</t>
  </si>
  <si>
    <t>Blackberry</t>
  </si>
  <si>
    <t>Table grapes</t>
  </si>
  <si>
    <t>Bananas</t>
  </si>
  <si>
    <t>Graphs</t>
  </si>
  <si>
    <t>Costs (€)</t>
  </si>
  <si>
    <t>Benchmark of 30%</t>
  </si>
  <si>
    <t>Benchmark of 15%</t>
  </si>
  <si>
    <t>Food Group</t>
  </si>
  <si>
    <t>2) Tubers/Starchy vegetables</t>
  </si>
  <si>
    <t>References</t>
  </si>
  <si>
    <t>Weder S, Leitzmann C &amp; Markus K (2019) Die Gießener Vegetarische Lebensmittelpyramide - Ein Update. Ernährung im Fokus 03, 206–212.</t>
  </si>
  <si>
    <t>Bundesministerium für Ernährung und Landwirtschaft (2022) Ernährung, Fischerei. Tabellen zu Ernährung und Fischerei. SJT-4040500-0000.xlsx  Verbrauch von Gemüse nach Arten. https://www.bmel-statistik.de/ernaehrung-fischerei/tabellen-zu-ernaehrung-und-fischerei (accessed May 2023).</t>
  </si>
  <si>
    <t>Bundesamt für Verbraucherschutz und Lebensmittelsicherheit (2002) Mittlere Gewichte einzelner Obst- und Gemüseerzeugnisse. https://www.bvl.bund.de/SharedDocs/Downloads/04_Pflanzenschutzmittel/rueckst_gew_obst_gemüde_pdf.pdf;jsessionid=8E6B3DA7A0B1612185A7F141F2ED8F86.internet941?__blob=publicationFile&amp;v=4 (accessed October 2023).</t>
  </si>
  <si>
    <t>Bundesministerium für Ernährung und Landwirtschaft (2022) Ernährung, Fischerei. Tabellen zu Ernährung und Fischerei.SJT-4040800-0000.xlsx  Verbrauch von Obst nach Arten. https://www.bmel-statistik.de/ernaehrung-fischerei/tabellen-zu-ernaehrung-und-fischerei (accessed May 2023).</t>
  </si>
  <si>
    <t>Max Rubner-Institut (2008) Nationale Verzehrsstudie II, Ergebnisbericht, Teil 2, Die bundesweite Befragung zur Ernährung von Jugendlichen und Erwachsenen. Karlsruhe</t>
  </si>
  <si>
    <t>Bundesanstalt für Landwirtschaft und Ernährung, Bundesinformationszentrum Landwirtschaft. Bericht zur Markt-und Versorgungslage mit Milch und Milcherzeugnissen [Internet]. 2023. Available from: www.ble.de</t>
  </si>
  <si>
    <t>Dr. Björn Börgermann (2019) Gouda ist der Lieblingskäse der Deutschen. Milchindustrieverband. https://milchindustrie.de/pressemitteilungen/gouda-ist-der-lieblingskaese-der-deutschen/ (accessed October 2023).</t>
  </si>
  <si>
    <t>Fisch-Informationszentrum e.V. (2021) Infografik Fischmarktfavoriten 2021. https://www.fischinfo.de/index.php/markt/114-infografiken (accessed July 2023).</t>
  </si>
  <si>
    <t>Anja Ettischer (2019) Superfoods Linsen, Bohnen &amp; Co.: Liste der beliebtesten Hülsenfrüchte. Gesundnah. AOK Baden-Württemberg. https://www.aok.de/bw-gesundnah/ernaehrung-und-rezepte/huelsenfruechte-liste-gaengiger-sorten (accessed October 2023).</t>
  </si>
  <si>
    <t>Bundesanstalt für Landwirtschaft und Ernährung (2021) Nussbilanz 2020: Erdnüsse, Mandeln und Haselnüsse am beliebtesten. https://www.ble.de/SharedDocs/Pressemitteilungen/DE/2021/211117_Nussbilanz.html (accessed October 2023).</t>
  </si>
  <si>
    <t>OVID Verband der ölsaatenverarbeitenden Industrie in Deutschland e. V. (2023) Rapsöl bleibt beliebtestes Speiseöl. https://www.ovid-verband.de/artikel/meldungen/rapsoel-bleibt-beliebtestes-speiseoel (accessed October 2023).</t>
  </si>
  <si>
    <t>Deutsche Gesellschaft für Ernährung e.V. DGE-Ernährungskreis. Öle und Fette. https://www.dge.de/gesunde-ernaehrung/dge-ernaehrungsempfehlungen/dge-ernaehrungskreis/oele-und-fette/ (accessed October 2023).</t>
  </si>
  <si>
    <t>Janson M (2020) Die beliebtesten Süßigkeiten der Deutschen. Statista. https://de.statista.com/infografik/23644/befragte-die-mindestens-woechentlich-folgende-suessigkeiten-verzehren/ (accessed May 2023).</t>
  </si>
  <si>
    <t>Deutsche Gesellschaft für Ernährung e. V. DGE-Ernährungskreis. Orientierungswerte. https://www.dge.de/gesunde-ernaehrung/dge-ernaehrungsempfehlungen/dge-ernaehrungskreis/speiseplan/standard-titel/ (accessed October 2023).</t>
  </si>
  <si>
    <t>IfD Allensbach (2022) Ranking der meistgekauften bzw. meistkonsumierten Getränke in der Bevölkerung in Deutschland in den Jahren 2020 bis 2022. Statista. https://de.statista.com/statistik/daten/studie/170892/umfrage/ranking-der-meistgekauften-konsumierten-getraenke/ (accessed May 2023).</t>
  </si>
  <si>
    <t>Rückert-John J, Kröger M &amp; Ritter J (2020) Konsum von Leitungs- und Flaschenwasser. Umweltbundesamt. https://www.umweltbundesamt.de/sites/default/files/medien/2503/dokumente/fact_sheet_leitungs_flaschenwasser.pdf (accessed October 2023).</t>
  </si>
  <si>
    <t>Coffee Circle Wie viel Kaffeepulver pro Tasse? Die optimale Kaffeedosierung. https://www.coffeecircle.com/de/e/kaffee-dosierung (accessed October 2023).</t>
  </si>
  <si>
    <t>Anne-Kathrin Sonnenberg (2020) Deutsche trinken eher Tee als Briten. YouGov PLC. https://yougov.de/topics/consumer/articles-reports/2020/11/13/deutsche-trinken-eher-tee-als-briten (accessed October 2023).</t>
  </si>
  <si>
    <t>Verband der deutschen Fruchtsaft-Industrie (2023) Pro-Kopf-Konsum der beliebtesten Fruchtsäfte in Deutschland in den Jahren 2005 bis 2022. Statista. https://de.statista.com/statistik/daten/studie/6185/umfrage/pro-kopf-verbrauch-der-4-beliebtesten-fruchtsaefte/ (accessed October 2023).</t>
  </si>
  <si>
    <t>Statistisches Bundesamt (Destatis) (2022) Konsumausgaben und Lebenshaltungskosten. Konsumausgaben privater Haushalte in Deutschland. https://www.destatis.de/DE/Themen/Gesellschaft-Umwelt/Einkommen-Konsum-Lebensbedingungen/Konsumausgaben-Lebenshaltungskosten/Tabellen/privater-konsum-d-lwr.html (accessed October 2023).</t>
  </si>
  <si>
    <r>
      <t>9.2) Beverages children</t>
    </r>
    <r>
      <rPr>
        <b/>
        <vertAlign val="superscript"/>
        <sz val="12"/>
        <color theme="1"/>
        <rFont val="Calibri (Textkörper)"/>
      </rPr>
      <t>14,15</t>
    </r>
  </si>
  <si>
    <r>
      <t>9.1) Beverages adults</t>
    </r>
    <r>
      <rPr>
        <b/>
        <vertAlign val="superscript"/>
        <sz val="12"/>
        <color theme="1"/>
        <rFont val="Calibri (Textkörper)"/>
      </rPr>
      <t>14,15</t>
    </r>
  </si>
  <si>
    <t>9.1) Beverages adults</t>
  </si>
  <si>
    <t>9.2) Beverages children</t>
  </si>
  <si>
    <t>9) Beverages</t>
  </si>
  <si>
    <r>
      <t>Statistics BMEL 2020/21</t>
    </r>
    <r>
      <rPr>
        <b/>
        <vertAlign val="superscript"/>
        <sz val="11"/>
        <color theme="1"/>
        <rFont val="Calibri (Textkörper)"/>
      </rPr>
      <t>2</t>
    </r>
    <r>
      <rPr>
        <b/>
        <sz val="11"/>
        <color theme="1"/>
        <rFont val="Calibri"/>
        <family val="2"/>
        <scheme val="minor"/>
      </rPr>
      <t xml:space="preserve">
1 year = 365 days</t>
    </r>
  </si>
  <si>
    <r>
      <t>Statistics BMEL 2020/21</t>
    </r>
    <r>
      <rPr>
        <b/>
        <vertAlign val="superscript"/>
        <sz val="11"/>
        <color theme="1"/>
        <rFont val="Calibri (Textkörper)"/>
      </rPr>
      <t>4</t>
    </r>
    <r>
      <rPr>
        <b/>
        <sz val="11"/>
        <color theme="1"/>
        <rFont val="Calibri"/>
        <family val="2"/>
        <scheme val="minor"/>
      </rPr>
      <t xml:space="preserve">
1 year = 365 days</t>
    </r>
  </si>
  <si>
    <t>9) Beverages children</t>
  </si>
  <si>
    <t>9) Beverages adults</t>
  </si>
  <si>
    <t xml:space="preserve">9) Beverages </t>
  </si>
  <si>
    <t xml:space="preserve">Supplementary Material for: </t>
  </si>
  <si>
    <t>Chickpeas, canned</t>
  </si>
  <si>
    <t>White beans, canned</t>
  </si>
  <si>
    <t>days</t>
  </si>
  <si>
    <t>Category costs per month</t>
  </si>
  <si>
    <t>Category Costs per month</t>
  </si>
  <si>
    <t>AVERAGE OF ALL FAMILY MEMBERS PER DAY</t>
  </si>
  <si>
    <t>AVERAGE OF ALL FAMILY MEMBERS PER MONTH</t>
  </si>
  <si>
    <t>Taken over from the other store, as the food item was not availble in the corresponding shopping style</t>
  </si>
  <si>
    <t>Taken over from the other shopping style, as the food item was not available in this shopping style in both stores</t>
  </si>
  <si>
    <t>Heavy meat consumption</t>
  </si>
  <si>
    <t>Moderate meat consumption</t>
  </si>
  <si>
    <t>Light meat consumption</t>
  </si>
  <si>
    <t>Monthly average cost shares by food group for each diet in euro (€)</t>
  </si>
  <si>
    <t>Monthly average cost shares of food items in the food group ‘protein sources’ for each diet in euro (€)</t>
  </si>
  <si>
    <t>Monthly disposable income requirements assuming 30% and 15% spending on the food baskets</t>
  </si>
  <si>
    <t>Monthly average food basket costs of the different diets, separated by shopping style and meat frequency level</t>
  </si>
  <si>
    <t>Cost shares according to food groups</t>
  </si>
  <si>
    <t>- Amounts in g/day for the heavy meat consumption diet</t>
  </si>
  <si>
    <t>- Amounts in g/day for the moderate meat consumption diet</t>
  </si>
  <si>
    <t>- Amounts in g/day for the light meat consumption diet</t>
  </si>
  <si>
    <t>- Calculation of cost shares</t>
  </si>
  <si>
    <t>- Calculation of the share of vegetables and fruits according to the BMEL</t>
  </si>
  <si>
    <t>Calculation of the share of vegetables and fruits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</si>
</sst>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\ _)"/>
    <numFmt numFmtId="166" formatCode="#\ ##0_)"/>
    <numFmt numFmtId="167" formatCode="#,##0.00\ &quot;€&quot;"/>
    <numFmt numFmtId="168" formatCode="0.0000"/>
    <numFmt numFmtId="169" formatCode="#,##0\ &quot;€&quot;"/>
  </numFmts>
  <fonts count="58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name val="Univers (WN)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70C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rgb="FF000000"/>
      <name val="Helvetica Neue"/>
      <family val="2"/>
    </font>
    <font>
      <b/>
      <sz val="12"/>
      <color rgb="FF000000"/>
      <name val="Calibri"/>
      <family val="2"/>
      <scheme val="minor"/>
    </font>
    <font>
      <sz val="10"/>
      <color rgb="FF000000"/>
      <name val="Helvetica Neue"/>
      <family val="2"/>
    </font>
    <font>
      <b/>
      <sz val="12"/>
      <color rgb="FFFF0000"/>
      <name val="Calibri (Textkörper)"/>
    </font>
    <font>
      <b/>
      <sz val="11"/>
      <name val="Calibri"/>
      <family val="2"/>
      <scheme val="minor"/>
    </font>
    <font>
      <sz val="12"/>
      <color theme="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2"/>
      <color rgb="FF7030A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5"/>
      <name val="Calibri"/>
      <family val="2"/>
      <scheme val="minor"/>
    </font>
    <font>
      <sz val="10"/>
      <color rgb="FFFF0000"/>
      <name val="Helvetica Neue"/>
      <family val="2"/>
    </font>
    <font>
      <sz val="10"/>
      <color theme="9"/>
      <name val="Helvetica Neue"/>
      <family val="2"/>
    </font>
    <font>
      <b/>
      <sz val="10"/>
      <color rgb="FFFF0000"/>
      <name val="Helvetica Neue"/>
      <family val="2"/>
    </font>
    <font>
      <b/>
      <sz val="10"/>
      <color theme="9"/>
      <name val="Helvetica Neue"/>
      <family val="2"/>
    </font>
    <font>
      <i/>
      <sz val="12"/>
      <color theme="1"/>
      <name val="Calibri"/>
      <family val="2"/>
      <scheme val="minor"/>
    </font>
    <font>
      <i/>
      <sz val="12"/>
      <color theme="6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0000"/>
      <name val="Times New Roman"/>
      <family val="1"/>
    </font>
    <font>
      <b/>
      <sz val="12"/>
      <color theme="1"/>
      <name val="Calibri (Textkörper)"/>
    </font>
    <font>
      <b/>
      <sz val="12"/>
      <color theme="5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2"/>
      <color theme="6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theme="4"/>
      <name val="Calibri"/>
      <family val="2"/>
      <scheme val="minor"/>
    </font>
    <font>
      <sz val="12"/>
      <color theme="6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vertAlign val="superscript"/>
      <sz val="12"/>
      <color theme="1"/>
      <name val="Calibri (Textkörper)"/>
    </font>
    <font>
      <b/>
      <vertAlign val="superscript"/>
      <sz val="11"/>
      <color theme="1"/>
      <name val="Calibri (Textkörper)"/>
    </font>
    <font>
      <vertAlign val="superscript"/>
      <sz val="12"/>
      <name val="Calibri (Textkörper)"/>
    </font>
    <font>
      <vertAlign val="superscript"/>
      <sz val="12"/>
      <color theme="1"/>
      <name val="Calibri (Textkörper)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 (Textkörper)"/>
    </font>
    <font>
      <i/>
      <sz val="11"/>
      <name val="Calibri"/>
      <family val="2"/>
      <scheme val="minor"/>
    </font>
    <font>
      <b/>
      <i/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rgb="FF000000"/>
      </patternFill>
    </fill>
  </fills>
  <borders count="47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indexed="64"/>
      </right>
      <top/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theme="2"/>
      </top>
      <bottom style="thin">
        <color theme="2"/>
      </bottom>
      <diagonal/>
    </border>
    <border>
      <left style="thin">
        <color indexed="64"/>
      </left>
      <right/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</borders>
  <cellStyleXfs count="4">
    <xf numFmtId="0" fontId="0" fillId="0" borderId="0"/>
    <xf numFmtId="0" fontId="5" fillId="0" borderId="0"/>
    <xf numFmtId="0" fontId="20" fillId="0" borderId="0"/>
    <xf numFmtId="0" fontId="51" fillId="0" borderId="0" applyNumberFormat="0" applyFill="0" applyBorder="0" applyAlignment="0" applyProtection="0"/>
  </cellStyleXfs>
  <cellXfs count="491">
    <xf numFmtId="0" fontId="0" fillId="0" borderId="0" xfId="0"/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0" fontId="0" fillId="0" borderId="1" xfId="0" quotePrefix="1" applyBorder="1" applyAlignment="1">
      <alignment horizontal="left" vertical="top" wrapText="1"/>
    </xf>
    <xf numFmtId="0" fontId="0" fillId="2" borderId="1" xfId="0" quotePrefix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2" fontId="4" fillId="0" borderId="0" xfId="1" applyNumberFormat="1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" fontId="0" fillId="0" borderId="0" xfId="0" applyNumberFormat="1" applyAlignment="1">
      <alignment horizontal="left" vertical="top" wrapText="1"/>
    </xf>
    <xf numFmtId="2" fontId="1" fillId="0" borderId="0" xfId="0" applyNumberFormat="1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164" fontId="17" fillId="2" borderId="1" xfId="0" applyNumberFormat="1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/>
    </xf>
    <xf numFmtId="2" fontId="18" fillId="2" borderId="0" xfId="0" applyNumberFormat="1" applyFont="1" applyFill="1" applyAlignment="1">
      <alignment horizontal="left" vertical="top" wrapText="1"/>
    </xf>
    <xf numFmtId="2" fontId="0" fillId="0" borderId="0" xfId="1" applyNumberFormat="1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164" fontId="0" fillId="2" borderId="1" xfId="0" applyNumberForma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2" fontId="4" fillId="3" borderId="0" xfId="0" applyNumberFormat="1" applyFont="1" applyFill="1" applyAlignment="1">
      <alignment horizontal="left" vertical="top" wrapText="1"/>
    </xf>
    <xf numFmtId="2" fontId="0" fillId="3" borderId="0" xfId="0" applyNumberFormat="1" applyFill="1" applyAlignment="1">
      <alignment horizontal="left" vertical="top" wrapText="1"/>
    </xf>
    <xf numFmtId="2" fontId="21" fillId="3" borderId="0" xfId="0" applyNumberFormat="1" applyFont="1" applyFill="1" applyAlignment="1">
      <alignment horizontal="left" vertical="top" wrapText="1"/>
    </xf>
    <xf numFmtId="0" fontId="0" fillId="3" borderId="0" xfId="0" applyFill="1" applyAlignment="1">
      <alignment horizontal="left"/>
    </xf>
    <xf numFmtId="2" fontId="4" fillId="3" borderId="0" xfId="1" applyNumberFormat="1" applyFont="1" applyFill="1" applyAlignment="1">
      <alignment horizontal="left" vertical="top" wrapText="1"/>
    </xf>
    <xf numFmtId="0" fontId="0" fillId="3" borderId="0" xfId="0" applyFill="1" applyAlignment="1">
      <alignment horizontal="left" wrapText="1"/>
    </xf>
    <xf numFmtId="0" fontId="9" fillId="3" borderId="1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2" fontId="10" fillId="4" borderId="0" xfId="0" applyNumberFormat="1" applyFont="1" applyFill="1" applyAlignment="1">
      <alignment horizontal="left" vertical="top" wrapText="1"/>
    </xf>
    <xf numFmtId="2" fontId="4" fillId="4" borderId="0" xfId="0" applyNumberFormat="1" applyFont="1" applyFill="1" applyAlignment="1">
      <alignment horizontal="left" vertical="top" wrapText="1"/>
    </xf>
    <xf numFmtId="2" fontId="0" fillId="4" borderId="0" xfId="0" applyNumberFormat="1" applyFill="1" applyAlignment="1">
      <alignment horizontal="left" vertical="top" wrapText="1"/>
    </xf>
    <xf numFmtId="0" fontId="0" fillId="4" borderId="0" xfId="0" applyFill="1" applyAlignment="1">
      <alignment horizontal="left"/>
    </xf>
    <xf numFmtId="2" fontId="4" fillId="4" borderId="0" xfId="1" applyNumberFormat="1" applyFont="1" applyFill="1" applyAlignment="1">
      <alignment horizontal="left" vertical="top" wrapText="1"/>
    </xf>
    <xf numFmtId="2" fontId="9" fillId="4" borderId="0" xfId="1" applyNumberFormat="1" applyFont="1" applyFill="1" applyAlignment="1">
      <alignment horizontal="left" vertical="top" wrapText="1"/>
    </xf>
    <xf numFmtId="2" fontId="10" fillId="4" borderId="0" xfId="1" applyNumberFormat="1" applyFont="1" applyFill="1" applyAlignment="1">
      <alignment horizontal="left" vertical="top" wrapText="1"/>
    </xf>
    <xf numFmtId="0" fontId="10" fillId="4" borderId="0" xfId="0" applyFont="1" applyFill="1" applyAlignment="1">
      <alignment horizontal="left" wrapText="1"/>
    </xf>
    <xf numFmtId="0" fontId="10" fillId="4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21" fillId="4" borderId="1" xfId="0" applyFont="1" applyFill="1" applyBorder="1" applyAlignment="1">
      <alignment horizontal="left" vertical="top" wrapText="1"/>
    </xf>
    <xf numFmtId="0" fontId="19" fillId="4" borderId="0" xfId="0" applyFont="1" applyFill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2" fontId="9" fillId="4" borderId="0" xfId="0" applyNumberFormat="1" applyFont="1" applyFill="1" applyAlignment="1">
      <alignment horizontal="left" vertical="top" wrapText="1"/>
    </xf>
    <xf numFmtId="0" fontId="0" fillId="4" borderId="0" xfId="0" applyFill="1" applyAlignment="1">
      <alignment horizontal="left" vertical="top"/>
    </xf>
    <xf numFmtId="2" fontId="0" fillId="3" borderId="0" xfId="1" applyNumberFormat="1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2" fontId="9" fillId="3" borderId="0" xfId="1" applyNumberFormat="1" applyFont="1" applyFill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11" fillId="5" borderId="11" xfId="0" applyFont="1" applyFill="1" applyBorder="1" applyAlignment="1">
      <alignment horizontal="left" vertical="top" wrapText="1"/>
    </xf>
    <xf numFmtId="0" fontId="11" fillId="5" borderId="12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" fontId="0" fillId="0" borderId="0" xfId="0" applyNumberForma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5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167" fontId="0" fillId="0" borderId="0" xfId="0" applyNumberFormat="1" applyAlignment="1">
      <alignment horizontal="left" vertical="top"/>
    </xf>
    <xf numFmtId="2" fontId="9" fillId="3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left" vertical="top"/>
    </xf>
    <xf numFmtId="2" fontId="0" fillId="4" borderId="0" xfId="0" applyNumberFormat="1" applyFill="1" applyAlignment="1">
      <alignment horizontal="left"/>
    </xf>
    <xf numFmtId="2" fontId="0" fillId="3" borderId="0" xfId="0" applyNumberFormat="1" applyFill="1" applyAlignment="1">
      <alignment horizontal="left"/>
    </xf>
    <xf numFmtId="2" fontId="9" fillId="4" borderId="0" xfId="0" applyNumberFormat="1" applyFont="1" applyFill="1" applyAlignment="1">
      <alignment horizontal="left"/>
    </xf>
    <xf numFmtId="2" fontId="0" fillId="3" borderId="1" xfId="0" applyNumberForma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/>
    <xf numFmtId="0" fontId="29" fillId="0" borderId="0" xfId="0" applyFont="1"/>
    <xf numFmtId="0" fontId="2" fillId="0" borderId="0" xfId="0" applyFont="1" applyAlignment="1">
      <alignment horizontal="left" vertical="top" wrapText="1"/>
    </xf>
    <xf numFmtId="0" fontId="30" fillId="0" borderId="0" xfId="0" applyFont="1"/>
    <xf numFmtId="0" fontId="0" fillId="0" borderId="2" xfId="0" applyBorder="1" applyAlignment="1">
      <alignment horizontal="left" vertical="top" wrapText="1"/>
    </xf>
    <xf numFmtId="168" fontId="0" fillId="0" borderId="1" xfId="0" applyNumberFormat="1" applyBorder="1" applyAlignment="1">
      <alignment horizontal="left" vertical="top" wrapText="1"/>
    </xf>
    <xf numFmtId="168" fontId="0" fillId="2" borderId="1" xfId="0" applyNumberFormat="1" applyFill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3" xfId="0" applyBorder="1" applyAlignment="1">
      <alignment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" fillId="10" borderId="0" xfId="0" applyFont="1" applyFill="1" applyAlignment="1">
      <alignment horizontal="left" vertical="top" wrapText="1"/>
    </xf>
    <xf numFmtId="0" fontId="0" fillId="10" borderId="0" xfId="0" applyFill="1" applyAlignment="1">
      <alignment horizontal="left" vertical="top" wrapText="1"/>
    </xf>
    <xf numFmtId="0" fontId="0" fillId="10" borderId="29" xfId="0" applyFill="1" applyBorder="1" applyAlignment="1">
      <alignment horizontal="left" vertical="top" wrapText="1"/>
    </xf>
    <xf numFmtId="0" fontId="0" fillId="10" borderId="28" xfId="0" applyFill="1" applyBorder="1" applyAlignment="1">
      <alignment horizontal="left" vertical="top" wrapText="1"/>
    </xf>
    <xf numFmtId="0" fontId="0" fillId="10" borderId="31" xfId="0" applyFill="1" applyBorder="1" applyAlignment="1">
      <alignment horizontal="left" vertical="top" wrapText="1"/>
    </xf>
    <xf numFmtId="0" fontId="0" fillId="10" borderId="32" xfId="0" applyFill="1" applyBorder="1" applyAlignment="1">
      <alignment horizontal="left" vertical="top" wrapText="1"/>
    </xf>
    <xf numFmtId="0" fontId="2" fillId="10" borderId="29" xfId="0" applyFont="1" applyFill="1" applyBorder="1" applyAlignment="1">
      <alignment vertical="top" wrapText="1"/>
    </xf>
    <xf numFmtId="0" fontId="0" fillId="10" borderId="29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 wrapText="1"/>
    </xf>
    <xf numFmtId="0" fontId="0" fillId="10" borderId="29" xfId="0" applyFill="1" applyBorder="1" applyAlignment="1">
      <alignment vertical="top" wrapText="1"/>
    </xf>
    <xf numFmtId="0" fontId="0" fillId="10" borderId="30" xfId="0" applyFill="1" applyBorder="1" applyAlignment="1">
      <alignment horizontal="left" vertical="top" wrapText="1"/>
    </xf>
    <xf numFmtId="0" fontId="2" fillId="10" borderId="22" xfId="0" applyFont="1" applyFill="1" applyBorder="1" applyAlignment="1">
      <alignment horizontal="center" vertical="top" wrapText="1"/>
    </xf>
    <xf numFmtId="0" fontId="0" fillId="10" borderId="34" xfId="0" applyFill="1" applyBorder="1" applyAlignment="1">
      <alignment horizontal="left" vertical="top" wrapText="1"/>
    </xf>
    <xf numFmtId="0" fontId="0" fillId="10" borderId="35" xfId="0" applyFill="1" applyBorder="1" applyAlignment="1">
      <alignment horizontal="left" vertical="top" wrapText="1"/>
    </xf>
    <xf numFmtId="0" fontId="2" fillId="10" borderId="20" xfId="0" applyFont="1" applyFill="1" applyBorder="1" applyAlignment="1">
      <alignment horizontal="left" vertical="top" wrapText="1"/>
    </xf>
    <xf numFmtId="0" fontId="2" fillId="10" borderId="4" xfId="0" applyFont="1" applyFill="1" applyBorder="1" applyAlignment="1">
      <alignment horizontal="left" vertical="top" wrapText="1"/>
    </xf>
    <xf numFmtId="0" fontId="0" fillId="10" borderId="17" xfId="0" applyFill="1" applyBorder="1" applyAlignment="1">
      <alignment horizontal="left" vertical="top" wrapText="1"/>
    </xf>
    <xf numFmtId="0" fontId="0" fillId="10" borderId="33" xfId="0" applyFill="1" applyBorder="1" applyAlignment="1">
      <alignment horizontal="left" vertical="top" wrapText="1"/>
    </xf>
    <xf numFmtId="0" fontId="0" fillId="10" borderId="37" xfId="0" applyFill="1" applyBorder="1" applyAlignment="1">
      <alignment horizontal="left" vertical="top" wrapText="1"/>
    </xf>
    <xf numFmtId="0" fontId="0" fillId="0" borderId="16" xfId="0" applyBorder="1" applyAlignment="1">
      <alignment vertical="top" wrapText="1"/>
    </xf>
    <xf numFmtId="0" fontId="0" fillId="0" borderId="16" xfId="0" applyBorder="1" applyAlignment="1">
      <alignment horizontal="left" vertical="top" wrapText="1"/>
    </xf>
    <xf numFmtId="0" fontId="23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14" fontId="2" fillId="0" borderId="2" xfId="0" applyNumberFormat="1" applyFont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 vertical="top" wrapText="1"/>
    </xf>
    <xf numFmtId="14" fontId="2" fillId="0" borderId="3" xfId="0" applyNumberFormat="1" applyFont="1" applyBorder="1" applyAlignment="1">
      <alignment horizontal="center" vertical="top" wrapText="1"/>
    </xf>
    <xf numFmtId="2" fontId="6" fillId="0" borderId="0" xfId="1" applyNumberFormat="1" applyFont="1" applyAlignment="1">
      <alignment horizontal="left" vertical="top" wrapText="1"/>
    </xf>
    <xf numFmtId="165" fontId="6" fillId="0" borderId="0" xfId="0" applyNumberFormat="1" applyFont="1" applyAlignment="1">
      <alignment horizontal="left" vertical="top"/>
    </xf>
    <xf numFmtId="165" fontId="16" fillId="0" borderId="0" xfId="0" applyNumberFormat="1" applyFont="1" applyAlignment="1">
      <alignment horizontal="left" vertical="top"/>
    </xf>
    <xf numFmtId="2" fontId="8" fillId="0" borderId="0" xfId="0" applyNumberFormat="1" applyFont="1" applyAlignment="1">
      <alignment horizontal="left" vertical="top" wrapText="1"/>
    </xf>
    <xf numFmtId="10" fontId="8" fillId="0" borderId="0" xfId="0" applyNumberFormat="1" applyFont="1" applyAlignment="1">
      <alignment horizontal="left" vertical="top" wrapText="1"/>
    </xf>
    <xf numFmtId="2" fontId="6" fillId="0" borderId="0" xfId="0" applyNumberFormat="1" applyFont="1" applyAlignment="1">
      <alignment horizontal="left" vertical="top" wrapText="1"/>
    </xf>
    <xf numFmtId="2" fontId="7" fillId="0" borderId="0" xfId="0" applyNumberFormat="1" applyFont="1" applyAlignment="1">
      <alignment horizontal="left" vertical="top" wrapText="1"/>
    </xf>
    <xf numFmtId="2" fontId="34" fillId="0" borderId="0" xfId="0" applyNumberFormat="1" applyFont="1" applyAlignment="1">
      <alignment horizontal="left" vertical="top" wrapText="1"/>
    </xf>
    <xf numFmtId="2" fontId="35" fillId="0" borderId="0" xfId="0" applyNumberFormat="1" applyFont="1" applyAlignment="1">
      <alignment horizontal="left" vertical="top" wrapText="1"/>
    </xf>
    <xf numFmtId="2" fontId="16" fillId="0" borderId="0" xfId="0" applyNumberFormat="1" applyFont="1" applyAlignment="1">
      <alignment horizontal="left" vertical="top" wrapText="1"/>
    </xf>
    <xf numFmtId="2" fontId="36" fillId="0" borderId="0" xfId="0" applyNumberFormat="1" applyFont="1" applyAlignment="1">
      <alignment horizontal="left" vertical="top" wrapText="1"/>
    </xf>
    <xf numFmtId="2" fontId="34" fillId="0" borderId="0" xfId="1" applyNumberFormat="1" applyFont="1" applyAlignment="1">
      <alignment horizontal="left" vertical="top" wrapText="1"/>
    </xf>
    <xf numFmtId="2" fontId="7" fillId="0" borderId="0" xfId="1" applyNumberFormat="1" applyFont="1" applyAlignment="1">
      <alignment horizontal="left" vertical="top" wrapText="1"/>
    </xf>
    <xf numFmtId="2" fontId="33" fillId="0" borderId="0" xfId="0" applyNumberFormat="1" applyFont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8" borderId="17" xfId="0" applyFill="1" applyBorder="1" applyAlignment="1">
      <alignment horizontal="left" vertical="top" wrapText="1"/>
    </xf>
    <xf numFmtId="0" fontId="0" fillId="9" borderId="17" xfId="0" applyFill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0" fillId="9" borderId="21" xfId="0" applyFill="1" applyBorder="1" applyAlignment="1">
      <alignment horizontal="left" vertical="top" wrapText="1"/>
    </xf>
    <xf numFmtId="0" fontId="0" fillId="8" borderId="36" xfId="0" applyFill="1" applyBorder="1" applyAlignment="1">
      <alignment horizontal="left" vertical="top" wrapText="1"/>
    </xf>
    <xf numFmtId="1" fontId="2" fillId="0" borderId="0" xfId="0" applyNumberFormat="1" applyFont="1" applyAlignment="1">
      <alignment horizontal="left" vertical="top"/>
    </xf>
    <xf numFmtId="167" fontId="0" fillId="3" borderId="0" xfId="0" applyNumberFormat="1" applyFill="1" applyAlignment="1">
      <alignment horizontal="left" vertical="top"/>
    </xf>
    <xf numFmtId="167" fontId="0" fillId="4" borderId="0" xfId="0" applyNumberFormat="1" applyFill="1" applyAlignment="1">
      <alignment horizontal="left" vertical="top"/>
    </xf>
    <xf numFmtId="169" fontId="0" fillId="3" borderId="0" xfId="0" applyNumberFormat="1" applyFill="1" applyAlignment="1">
      <alignment horizontal="left" vertical="top"/>
    </xf>
    <xf numFmtId="169" fontId="0" fillId="4" borderId="0" xfId="0" applyNumberFormat="1" applyFill="1" applyAlignment="1">
      <alignment horizontal="left" vertical="top"/>
    </xf>
    <xf numFmtId="169" fontId="0" fillId="0" borderId="0" xfId="0" applyNumberFormat="1" applyAlignment="1">
      <alignment horizontal="left" vertical="top"/>
    </xf>
    <xf numFmtId="167" fontId="0" fillId="3" borderId="1" xfId="0" applyNumberFormat="1" applyFill="1" applyBorder="1" applyAlignment="1">
      <alignment horizontal="left" vertical="top" wrapText="1"/>
    </xf>
    <xf numFmtId="167" fontId="0" fillId="4" borderId="1" xfId="0" applyNumberForma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13" fillId="0" borderId="0" xfId="0" applyFont="1" applyAlignment="1">
      <alignment horizontal="center" vertical="center"/>
    </xf>
    <xf numFmtId="2" fontId="13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2" fontId="27" fillId="0" borderId="0" xfId="0" applyNumberFormat="1" applyFont="1" applyAlignment="1">
      <alignment horizontal="left" vertical="top" wrapText="1"/>
    </xf>
    <xf numFmtId="2" fontId="12" fillId="0" borderId="0" xfId="0" applyNumberFormat="1" applyFont="1" applyAlignment="1">
      <alignment horizontal="left" vertical="top" wrapText="1"/>
    </xf>
    <xf numFmtId="2" fontId="28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10" fontId="1" fillId="0" borderId="0" xfId="0" applyNumberFormat="1" applyFont="1" applyAlignment="1">
      <alignment horizontal="left" vertical="top"/>
    </xf>
    <xf numFmtId="10" fontId="1" fillId="0" borderId="0" xfId="0" quotePrefix="1" applyNumberFormat="1" applyFont="1" applyAlignment="1">
      <alignment horizontal="left" vertical="top"/>
    </xf>
    <xf numFmtId="0" fontId="29" fillId="0" borderId="0" xfId="0" applyFont="1" applyAlignment="1">
      <alignment horizontal="left" vertical="top"/>
    </xf>
    <xf numFmtId="169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top"/>
    </xf>
    <xf numFmtId="9" fontId="1" fillId="0" borderId="0" xfId="0" applyNumberFormat="1" applyFont="1" applyAlignment="1">
      <alignment horizontal="left" vertical="top"/>
    </xf>
    <xf numFmtId="0" fontId="2" fillId="0" borderId="1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0" fillId="0" borderId="0" xfId="0" applyNumberFormat="1" applyAlignment="1">
      <alignment horizontal="left" vertical="top"/>
    </xf>
    <xf numFmtId="0" fontId="2" fillId="2" borderId="14" xfId="0" applyFont="1" applyFill="1" applyBorder="1" applyAlignment="1">
      <alignment horizontal="left" vertical="top" wrapText="1"/>
    </xf>
    <xf numFmtId="2" fontId="2" fillId="2" borderId="0" xfId="0" applyNumberFormat="1" applyFont="1" applyFill="1" applyAlignment="1">
      <alignment horizontal="left" vertical="top" wrapText="1"/>
    </xf>
    <xf numFmtId="2" fontId="0" fillId="4" borderId="0" xfId="1" applyNumberFormat="1" applyFont="1" applyFill="1" applyAlignment="1">
      <alignment horizontal="left" vertical="top" wrapText="1"/>
    </xf>
    <xf numFmtId="0" fontId="38" fillId="0" borderId="1" xfId="0" applyFont="1" applyBorder="1" applyAlignment="1">
      <alignment horizontal="left" vertical="top" wrapText="1"/>
    </xf>
    <xf numFmtId="0" fontId="0" fillId="6" borderId="11" xfId="0" applyFill="1" applyBorder="1" applyAlignment="1">
      <alignment horizontal="left" vertical="top" wrapText="1"/>
    </xf>
    <xf numFmtId="0" fontId="0" fillId="5" borderId="11" xfId="0" applyFill="1" applyBorder="1" applyAlignment="1">
      <alignment horizontal="left" vertical="top" wrapText="1"/>
    </xf>
    <xf numFmtId="0" fontId="0" fillId="4" borderId="14" xfId="0" applyFill="1" applyBorder="1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2" borderId="13" xfId="0" applyFill="1" applyBorder="1" applyAlignment="1">
      <alignment horizontal="left" vertical="top" wrapText="1"/>
    </xf>
    <xf numFmtId="0" fontId="0" fillId="7" borderId="11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4" borderId="0" xfId="0" applyFill="1" applyAlignment="1">
      <alignment horizontal="left" wrapText="1"/>
    </xf>
    <xf numFmtId="169" fontId="0" fillId="3" borderId="34" xfId="0" applyNumberFormat="1" applyFill="1" applyBorder="1" applyAlignment="1">
      <alignment horizontal="left" vertical="top"/>
    </xf>
    <xf numFmtId="169" fontId="0" fillId="4" borderId="39" xfId="0" applyNumberFormat="1" applyFill="1" applyBorder="1" applyAlignment="1">
      <alignment horizontal="left" vertical="top"/>
    </xf>
    <xf numFmtId="0" fontId="2" fillId="0" borderId="33" xfId="0" applyFont="1" applyBorder="1"/>
    <xf numFmtId="0" fontId="31" fillId="11" borderId="33" xfId="0" applyFont="1" applyFill="1" applyBorder="1"/>
    <xf numFmtId="0" fontId="31" fillId="0" borderId="20" xfId="0" applyFont="1" applyBorder="1" applyAlignment="1">
      <alignment horizontal="center"/>
    </xf>
    <xf numFmtId="0" fontId="0" fillId="0" borderId="34" xfId="0" applyBorder="1"/>
    <xf numFmtId="0" fontId="2" fillId="0" borderId="41" xfId="0" applyFont="1" applyBorder="1" applyAlignment="1">
      <alignment horizontal="left" vertical="top" wrapText="1"/>
    </xf>
    <xf numFmtId="0" fontId="0" fillId="0" borderId="18" xfId="0" applyBorder="1"/>
    <xf numFmtId="0" fontId="0" fillId="0" borderId="19" xfId="0" applyBorder="1"/>
    <xf numFmtId="0" fontId="29" fillId="11" borderId="20" xfId="0" applyFont="1" applyFill="1" applyBorder="1"/>
    <xf numFmtId="0" fontId="0" fillId="0" borderId="40" xfId="0" applyBorder="1"/>
    <xf numFmtId="0" fontId="29" fillId="11" borderId="4" xfId="0" applyFont="1" applyFill="1" applyBorder="1"/>
    <xf numFmtId="0" fontId="0" fillId="0" borderId="21" xfId="0" applyBorder="1"/>
    <xf numFmtId="0" fontId="0" fillId="0" borderId="22" xfId="0" applyBorder="1"/>
    <xf numFmtId="0" fontId="29" fillId="11" borderId="23" xfId="0" applyFont="1" applyFill="1" applyBorder="1"/>
    <xf numFmtId="0" fontId="2" fillId="0" borderId="42" xfId="0" applyFont="1" applyBorder="1" applyAlignment="1">
      <alignment horizontal="left" vertical="top" wrapText="1"/>
    </xf>
    <xf numFmtId="0" fontId="2" fillId="2" borderId="43" xfId="0" applyFont="1" applyFill="1" applyBorder="1" applyAlignment="1">
      <alignment horizontal="left" vertical="top" wrapText="1"/>
    </xf>
    <xf numFmtId="0" fontId="0" fillId="2" borderId="43" xfId="0" applyFill="1" applyBorder="1"/>
    <xf numFmtId="0" fontId="2" fillId="0" borderId="44" xfId="0" applyFont="1" applyBorder="1" applyAlignment="1">
      <alignment horizontal="left" vertical="top" wrapText="1"/>
    </xf>
    <xf numFmtId="0" fontId="2" fillId="0" borderId="45" xfId="0" applyFont="1" applyBorder="1" applyAlignment="1">
      <alignment horizontal="left" vertical="top" wrapText="1"/>
    </xf>
    <xf numFmtId="0" fontId="0" fillId="11" borderId="4" xfId="0" applyFill="1" applyBorder="1"/>
    <xf numFmtId="0" fontId="0" fillId="11" borderId="23" xfId="0" applyFill="1" applyBorder="1"/>
    <xf numFmtId="0" fontId="31" fillId="11" borderId="37" xfId="0" applyFont="1" applyFill="1" applyBorder="1"/>
    <xf numFmtId="0" fontId="0" fillId="2" borderId="14" xfId="0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30" fillId="11" borderId="4" xfId="0" applyFont="1" applyFill="1" applyBorder="1"/>
    <xf numFmtId="0" fontId="30" fillId="0" borderId="41" xfId="0" applyFont="1" applyBorder="1" applyAlignment="1">
      <alignment horizontal="right" vertical="top" wrapText="1"/>
    </xf>
    <xf numFmtId="0" fontId="30" fillId="0" borderId="40" xfId="0" applyFont="1" applyBorder="1" applyAlignment="1">
      <alignment horizontal="right"/>
    </xf>
    <xf numFmtId="0" fontId="30" fillId="0" borderId="0" xfId="0" applyFont="1" applyAlignment="1">
      <alignment horizontal="right"/>
    </xf>
    <xf numFmtId="0" fontId="30" fillId="0" borderId="44" xfId="0" applyFont="1" applyBorder="1" applyAlignment="1">
      <alignment horizontal="right" vertical="top" wrapText="1"/>
    </xf>
    <xf numFmtId="0" fontId="2" fillId="2" borderId="43" xfId="0" applyFont="1" applyFill="1" applyBorder="1"/>
    <xf numFmtId="0" fontId="43" fillId="4" borderId="1" xfId="0" applyFont="1" applyFill="1" applyBorder="1" applyAlignment="1">
      <alignment horizontal="left" vertical="top" wrapText="1"/>
    </xf>
    <xf numFmtId="0" fontId="43" fillId="3" borderId="1" xfId="0" applyFont="1" applyFill="1" applyBorder="1" applyAlignment="1">
      <alignment horizontal="left" vertical="top" wrapText="1"/>
    </xf>
    <xf numFmtId="0" fontId="42" fillId="0" borderId="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30" fillId="0" borderId="40" xfId="0" applyFont="1" applyBorder="1"/>
    <xf numFmtId="0" fontId="31" fillId="0" borderId="0" xfId="0" applyFont="1"/>
    <xf numFmtId="168" fontId="22" fillId="0" borderId="0" xfId="0" applyNumberFormat="1" applyFont="1"/>
    <xf numFmtId="168" fontId="0" fillId="0" borderId="0" xfId="0" applyNumberFormat="1"/>
    <xf numFmtId="168" fontId="40" fillId="0" borderId="0" xfId="0" applyNumberFormat="1" applyFont="1"/>
    <xf numFmtId="168" fontId="39" fillId="0" borderId="0" xfId="0" applyNumberFormat="1" applyFont="1"/>
    <xf numFmtId="168" fontId="3" fillId="0" borderId="0" xfId="0" applyNumberFormat="1" applyFont="1"/>
    <xf numFmtId="168" fontId="32" fillId="0" borderId="0" xfId="0" applyNumberFormat="1" applyFont="1"/>
    <xf numFmtId="168" fontId="30" fillId="0" borderId="0" xfId="0" applyNumberFormat="1" applyFont="1"/>
    <xf numFmtId="0" fontId="22" fillId="0" borderId="0" xfId="0" applyFont="1"/>
    <xf numFmtId="0" fontId="40" fillId="0" borderId="0" xfId="0" applyFont="1"/>
    <xf numFmtId="0" fontId="39" fillId="0" borderId="0" xfId="0" applyFont="1"/>
    <xf numFmtId="0" fontId="3" fillId="0" borderId="0" xfId="0" applyFont="1"/>
    <xf numFmtId="0" fontId="32" fillId="0" borderId="0" xfId="0" applyFont="1"/>
    <xf numFmtId="0" fontId="32" fillId="11" borderId="4" xfId="0" applyFont="1" applyFill="1" applyBorder="1"/>
    <xf numFmtId="10" fontId="30" fillId="0" borderId="0" xfId="0" applyNumberFormat="1" applyFont="1"/>
    <xf numFmtId="10" fontId="30" fillId="0" borderId="4" xfId="0" applyNumberFormat="1" applyFont="1" applyBorder="1"/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11" fillId="0" borderId="11" xfId="0" applyFont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center" wrapText="1"/>
    </xf>
    <xf numFmtId="0" fontId="0" fillId="2" borderId="0" xfId="0" applyFill="1" applyAlignment="1">
      <alignment horizontal="left" vertical="top" wrapText="1"/>
    </xf>
    <xf numFmtId="0" fontId="45" fillId="0" borderId="16" xfId="0" applyFont="1" applyBorder="1" applyAlignment="1">
      <alignment horizontal="left" vertical="top" wrapText="1"/>
    </xf>
    <xf numFmtId="0" fontId="45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10" fontId="0" fillId="0" borderId="0" xfId="0" applyNumberFormat="1" applyAlignment="1">
      <alignment horizontal="left" vertical="top" wrapText="1"/>
    </xf>
    <xf numFmtId="1" fontId="0" fillId="0" borderId="4" xfId="0" applyNumberFormat="1" applyBorder="1" applyAlignment="1">
      <alignment horizontal="left" vertical="top"/>
    </xf>
    <xf numFmtId="1" fontId="0" fillId="0" borderId="23" xfId="0" applyNumberFormat="1" applyBorder="1" applyAlignment="1">
      <alignment horizontal="left" vertical="top"/>
    </xf>
    <xf numFmtId="1" fontId="0" fillId="0" borderId="35" xfId="0" applyNumberFormat="1" applyBorder="1" applyAlignment="1">
      <alignment horizontal="left" vertical="top"/>
    </xf>
    <xf numFmtId="1" fontId="0" fillId="0" borderId="39" xfId="0" applyNumberFormat="1" applyBorder="1" applyAlignment="1">
      <alignment horizontal="left" vertical="top"/>
    </xf>
    <xf numFmtId="0" fontId="2" fillId="0" borderId="3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37" xfId="0" applyFont="1" applyBorder="1" applyAlignment="1">
      <alignment horizontal="center" vertical="top"/>
    </xf>
    <xf numFmtId="10" fontId="2" fillId="0" borderId="22" xfId="0" applyNumberFormat="1" applyFont="1" applyBorder="1" applyAlignment="1">
      <alignment horizontal="center"/>
    </xf>
    <xf numFmtId="10" fontId="2" fillId="0" borderId="23" xfId="0" applyNumberFormat="1" applyFont="1" applyBorder="1" applyAlignment="1">
      <alignment horizontal="center"/>
    </xf>
    <xf numFmtId="10" fontId="2" fillId="0" borderId="21" xfId="0" applyNumberFormat="1" applyFont="1" applyBorder="1" applyAlignment="1">
      <alignment horizontal="center"/>
    </xf>
    <xf numFmtId="10" fontId="0" fillId="0" borderId="0" xfId="0" applyNumberFormat="1"/>
    <xf numFmtId="0" fontId="30" fillId="0" borderId="0" xfId="0" applyFont="1" applyAlignment="1">
      <alignment horizontal="right" vertical="top" wrapText="1"/>
    </xf>
    <xf numFmtId="2" fontId="0" fillId="0" borderId="0" xfId="0" applyNumberFormat="1"/>
    <xf numFmtId="1" fontId="2" fillId="0" borderId="1" xfId="0" applyNumberFormat="1" applyFont="1" applyBorder="1" applyAlignment="1">
      <alignment horizontal="left" vertical="top" wrapText="1"/>
    </xf>
    <xf numFmtId="1" fontId="2" fillId="0" borderId="0" xfId="0" applyNumberFormat="1" applyFont="1" applyAlignment="1">
      <alignment horizontal="left" vertical="top" wrapText="1"/>
    </xf>
    <xf numFmtId="0" fontId="2" fillId="2" borderId="14" xfId="0" applyFont="1" applyFill="1" applyBorder="1" applyAlignment="1">
      <alignment vertical="top"/>
    </xf>
    <xf numFmtId="1" fontId="0" fillId="0" borderId="0" xfId="0" applyNumberFormat="1"/>
    <xf numFmtId="0" fontId="2" fillId="0" borderId="0" xfId="0" applyFont="1" applyAlignment="1">
      <alignment horizontal="center" wrapText="1"/>
    </xf>
    <xf numFmtId="0" fontId="33" fillId="0" borderId="0" xfId="0" applyFont="1" applyAlignment="1">
      <alignment horizontal="left" vertical="top"/>
    </xf>
    <xf numFmtId="0" fontId="50" fillId="0" borderId="0" xfId="0" applyFont="1"/>
    <xf numFmtId="0" fontId="50" fillId="0" borderId="0" xfId="3" quotePrefix="1" applyFont="1"/>
    <xf numFmtId="0" fontId="50" fillId="0" borderId="0" xfId="3" quotePrefix="1" applyFont="1" applyAlignment="1">
      <alignment horizontal="left" indent="1"/>
    </xf>
    <xf numFmtId="0" fontId="0" fillId="0" borderId="0" xfId="0" applyAlignment="1">
      <alignment wrapText="1"/>
    </xf>
    <xf numFmtId="0" fontId="23" fillId="2" borderId="0" xfId="0" applyFont="1" applyFill="1" applyAlignment="1">
      <alignment horizontal="center" vertical="top"/>
    </xf>
    <xf numFmtId="0" fontId="31" fillId="0" borderId="0" xfId="0" applyFont="1" applyAlignment="1">
      <alignment horizontal="center" vertical="top"/>
    </xf>
    <xf numFmtId="0" fontId="2" fillId="10" borderId="0" xfId="0" applyFont="1" applyFill="1" applyAlignment="1">
      <alignment vertical="top" wrapText="1"/>
    </xf>
    <xf numFmtId="0" fontId="0" fillId="10" borderId="0" xfId="0" applyFill="1" applyAlignment="1">
      <alignment horizontal="center" vertical="center" wrapText="1"/>
    </xf>
    <xf numFmtId="0" fontId="0" fillId="10" borderId="0" xfId="0" applyFill="1" applyAlignment="1">
      <alignment vertical="top" wrapText="1"/>
    </xf>
    <xf numFmtId="0" fontId="2" fillId="10" borderId="28" xfId="0" applyFont="1" applyFill="1" applyBorder="1" applyAlignment="1">
      <alignment horizontal="left" vertical="top" wrapText="1"/>
    </xf>
    <xf numFmtId="0" fontId="0" fillId="10" borderId="19" xfId="0" applyFill="1" applyBorder="1" applyAlignment="1">
      <alignment horizontal="left" vertical="top" wrapText="1"/>
    </xf>
    <xf numFmtId="0" fontId="2" fillId="10" borderId="19" xfId="0" applyFont="1" applyFill="1" applyBorder="1" applyAlignment="1">
      <alignment vertical="top" wrapText="1"/>
    </xf>
    <xf numFmtId="0" fontId="2" fillId="10" borderId="20" xfId="0" applyFont="1" applyFill="1" applyBorder="1" applyAlignment="1">
      <alignment vertical="top" wrapText="1"/>
    </xf>
    <xf numFmtId="0" fontId="2" fillId="10" borderId="34" xfId="0" applyFont="1" applyFill="1" applyBorder="1" applyAlignment="1">
      <alignment horizontal="left" vertical="top" wrapText="1"/>
    </xf>
    <xf numFmtId="10" fontId="45" fillId="0" borderId="0" xfId="0" applyNumberFormat="1" applyFont="1" applyAlignment="1">
      <alignment horizontal="left" vertical="top"/>
    </xf>
    <xf numFmtId="0" fontId="45" fillId="0" borderId="0" xfId="0" applyFont="1" applyAlignment="1">
      <alignment vertical="top" wrapText="1"/>
    </xf>
    <xf numFmtId="0" fontId="45" fillId="0" borderId="0" xfId="0" applyFont="1" applyAlignment="1">
      <alignment vertical="top"/>
    </xf>
    <xf numFmtId="0" fontId="45" fillId="0" borderId="0" xfId="0" applyFont="1" applyAlignment="1">
      <alignment horizontal="left" vertical="top"/>
    </xf>
    <xf numFmtId="2" fontId="33" fillId="0" borderId="0" xfId="0" applyNumberFormat="1" applyFont="1" applyAlignment="1">
      <alignment horizontal="left" vertical="top"/>
    </xf>
    <xf numFmtId="0" fontId="33" fillId="0" borderId="0" xfId="0" applyFont="1" applyAlignment="1">
      <alignment vertical="top" wrapText="1"/>
    </xf>
    <xf numFmtId="2" fontId="8" fillId="0" borderId="22" xfId="0" applyNumberFormat="1" applyFont="1" applyBorder="1" applyAlignment="1">
      <alignment horizontal="left" vertical="top" wrapText="1"/>
    </xf>
    <xf numFmtId="10" fontId="8" fillId="0" borderId="22" xfId="0" applyNumberFormat="1" applyFont="1" applyBorder="1" applyAlignment="1">
      <alignment horizontal="left" vertical="top" wrapText="1"/>
    </xf>
    <xf numFmtId="2" fontId="8" fillId="0" borderId="33" xfId="0" applyNumberFormat="1" applyFont="1" applyBorder="1" applyAlignment="1">
      <alignment horizontal="left" vertical="top" wrapText="1"/>
    </xf>
    <xf numFmtId="2" fontId="7" fillId="0" borderId="33" xfId="0" applyNumberFormat="1" applyFont="1" applyBorder="1" applyAlignment="1">
      <alignment horizontal="left" vertical="top" wrapText="1"/>
    </xf>
    <xf numFmtId="2" fontId="16" fillId="0" borderId="33" xfId="1" applyNumberFormat="1" applyFont="1" applyBorder="1" applyAlignment="1">
      <alignment horizontal="left" vertical="top" wrapText="1"/>
    </xf>
    <xf numFmtId="2" fontId="6" fillId="0" borderId="33" xfId="0" applyNumberFormat="1" applyFont="1" applyBorder="1" applyAlignment="1">
      <alignment horizontal="left" vertical="top" wrapText="1"/>
    </xf>
    <xf numFmtId="1" fontId="0" fillId="2" borderId="1" xfId="0" applyNumberFormat="1" applyFill="1" applyBorder="1" applyAlignment="1">
      <alignment horizontal="left" vertical="top" wrapText="1"/>
    </xf>
    <xf numFmtId="0" fontId="8" fillId="0" borderId="0" xfId="0" applyFont="1" applyAlignment="1">
      <alignment vertical="top"/>
    </xf>
    <xf numFmtId="2" fontId="7" fillId="0" borderId="33" xfId="0" applyNumberFormat="1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/>
    </xf>
    <xf numFmtId="0" fontId="8" fillId="0" borderId="33" xfId="0" applyFont="1" applyBorder="1" applyAlignment="1">
      <alignment horizontal="left" vertical="top"/>
    </xf>
    <xf numFmtId="0" fontId="8" fillId="0" borderId="33" xfId="0" applyFont="1" applyBorder="1" applyAlignment="1">
      <alignment horizontal="left" vertical="top" wrapText="1"/>
    </xf>
    <xf numFmtId="0" fontId="7" fillId="0" borderId="33" xfId="0" applyFont="1" applyBorder="1" applyAlignment="1">
      <alignment horizontal="left" vertical="top"/>
    </xf>
    <xf numFmtId="0" fontId="8" fillId="0" borderId="19" xfId="0" applyFont="1" applyBorder="1" applyAlignment="1">
      <alignment horizontal="left" vertical="top"/>
    </xf>
    <xf numFmtId="2" fontId="7" fillId="0" borderId="0" xfId="0" applyNumberFormat="1" applyFont="1" applyAlignment="1">
      <alignment horizontal="left" vertical="top"/>
    </xf>
    <xf numFmtId="166" fontId="37" fillId="0" borderId="0" xfId="0" applyNumberFormat="1" applyFont="1" applyAlignment="1">
      <alignment horizontal="left" vertical="top"/>
    </xf>
    <xf numFmtId="0" fontId="37" fillId="0" borderId="0" xfId="0" applyFont="1" applyAlignment="1">
      <alignment horizontal="left" vertical="top"/>
    </xf>
    <xf numFmtId="0" fontId="0" fillId="2" borderId="0" xfId="0" applyFill="1"/>
    <xf numFmtId="0" fontId="0" fillId="0" borderId="34" xfId="0" applyBorder="1" applyAlignment="1">
      <alignment horizontal="left" vertical="top"/>
    </xf>
    <xf numFmtId="1" fontId="0" fillId="0" borderId="20" xfId="0" applyNumberFormat="1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44" fillId="11" borderId="4" xfId="0" applyFont="1" applyFill="1" applyBorder="1"/>
    <xf numFmtId="0" fontId="0" fillId="11" borderId="20" xfId="0" applyFill="1" applyBorder="1"/>
    <xf numFmtId="0" fontId="0" fillId="11" borderId="22" xfId="0" applyFill="1" applyBorder="1"/>
    <xf numFmtId="168" fontId="0" fillId="11" borderId="4" xfId="0" applyNumberFormat="1" applyFill="1" applyBorder="1"/>
    <xf numFmtId="168" fontId="30" fillId="11" borderId="4" xfId="0" applyNumberFormat="1" applyFont="1" applyFill="1" applyBorder="1"/>
    <xf numFmtId="168" fontId="0" fillId="11" borderId="23" xfId="0" applyNumberFormat="1" applyFill="1" applyBorder="1"/>
    <xf numFmtId="168" fontId="32" fillId="11" borderId="4" xfId="0" applyNumberFormat="1" applyFont="1" applyFill="1" applyBorder="1"/>
    <xf numFmtId="0" fontId="0" fillId="11" borderId="0" xfId="0" applyFill="1"/>
    <xf numFmtId="168" fontId="0" fillId="11" borderId="20" xfId="0" applyNumberFormat="1" applyFill="1" applyBorder="1"/>
    <xf numFmtId="168" fontId="29" fillId="11" borderId="4" xfId="0" applyNumberFormat="1" applyFont="1" applyFill="1" applyBorder="1"/>
    <xf numFmtId="0" fontId="41" fillId="11" borderId="0" xfId="0" applyFont="1" applyFill="1"/>
    <xf numFmtId="0" fontId="2" fillId="0" borderId="36" xfId="0" applyFont="1" applyBorder="1"/>
    <xf numFmtId="2" fontId="54" fillId="0" borderId="0" xfId="0" applyNumberFormat="1" applyFont="1" applyAlignment="1">
      <alignment horizontal="left" vertical="top" wrapText="1"/>
    </xf>
    <xf numFmtId="0" fontId="52" fillId="0" borderId="0" xfId="0" applyFont="1" applyAlignment="1">
      <alignment vertical="top"/>
    </xf>
    <xf numFmtId="168" fontId="7" fillId="0" borderId="0" xfId="0" applyNumberFormat="1" applyFont="1" applyAlignment="1">
      <alignment horizontal="left" vertical="top" wrapText="1"/>
    </xf>
    <xf numFmtId="168" fontId="34" fillId="0" borderId="0" xfId="0" applyNumberFormat="1" applyFont="1" applyAlignment="1">
      <alignment horizontal="left" vertical="top" wrapText="1"/>
    </xf>
    <xf numFmtId="168" fontId="0" fillId="0" borderId="0" xfId="0" applyNumberFormat="1" applyAlignment="1">
      <alignment horizontal="left" vertical="top" wrapText="1"/>
    </xf>
    <xf numFmtId="168" fontId="0" fillId="2" borderId="0" xfId="0" applyNumberFormat="1" applyFill="1" applyAlignment="1">
      <alignment horizontal="left" vertical="top" wrapText="1"/>
    </xf>
    <xf numFmtId="168" fontId="0" fillId="0" borderId="0" xfId="0" applyNumberFormat="1" applyAlignment="1">
      <alignment horizontal="left" vertical="top"/>
    </xf>
    <xf numFmtId="168" fontId="17" fillId="2" borderId="0" xfId="0" applyNumberFormat="1" applyFont="1" applyFill="1" applyAlignment="1">
      <alignment horizontal="left" vertical="top" wrapText="1"/>
    </xf>
    <xf numFmtId="0" fontId="8" fillId="0" borderId="22" xfId="0" applyFont="1" applyBorder="1" applyAlignment="1">
      <alignment horizontal="left" vertical="top"/>
    </xf>
    <xf numFmtId="0" fontId="13" fillId="0" borderId="33" xfId="0" applyFont="1" applyBorder="1"/>
    <xf numFmtId="0" fontId="55" fillId="12" borderId="33" xfId="0" applyFont="1" applyFill="1" applyBorder="1"/>
    <xf numFmtId="0" fontId="55" fillId="12" borderId="37" xfId="0" applyFont="1" applyFill="1" applyBorder="1"/>
    <xf numFmtId="0" fontId="0" fillId="0" borderId="46" xfId="0" applyBorder="1"/>
    <xf numFmtId="0" fontId="56" fillId="0" borderId="1" xfId="0" applyFont="1" applyBorder="1" applyAlignment="1">
      <alignment horizontal="left" vertical="top" wrapText="1"/>
    </xf>
    <xf numFmtId="0" fontId="2" fillId="10" borderId="17" xfId="0" applyFont="1" applyFill="1" applyBorder="1" applyAlignment="1">
      <alignment horizontal="left" vertical="top" wrapText="1"/>
    </xf>
    <xf numFmtId="0" fontId="2" fillId="10" borderId="33" xfId="0" applyFont="1" applyFill="1" applyBorder="1" applyAlignment="1">
      <alignment horizontal="left" vertical="top" wrapText="1"/>
    </xf>
    <xf numFmtId="169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2" borderId="0" xfId="0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9" fillId="0" borderId="0" xfId="0" applyFont="1" applyAlignment="1">
      <alignment vertical="top" wrapText="1"/>
    </xf>
    <xf numFmtId="0" fontId="23" fillId="2" borderId="0" xfId="0" applyFont="1" applyFill="1" applyAlignment="1">
      <alignment vertical="top"/>
    </xf>
    <xf numFmtId="169" fontId="1" fillId="0" borderId="0" xfId="0" quotePrefix="1" applyNumberFormat="1" applyFont="1" applyAlignment="1">
      <alignment horizontal="left" vertical="top"/>
    </xf>
    <xf numFmtId="10" fontId="0" fillId="0" borderId="0" xfId="0" applyNumberFormat="1" applyAlignment="1">
      <alignment horizontal="left" vertical="top"/>
    </xf>
    <xf numFmtId="168" fontId="8" fillId="0" borderId="0" xfId="0" applyNumberFormat="1" applyFont="1" applyAlignment="1">
      <alignment horizontal="left" vertical="top" wrapText="1"/>
    </xf>
    <xf numFmtId="168" fontId="8" fillId="0" borderId="0" xfId="0" applyNumberFormat="1" applyFont="1" applyAlignment="1">
      <alignment horizontal="left" vertical="top"/>
    </xf>
    <xf numFmtId="10" fontId="2" fillId="0" borderId="0" xfId="0" applyNumberFormat="1" applyFont="1"/>
    <xf numFmtId="10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wrapText="1"/>
    </xf>
    <xf numFmtId="0" fontId="31" fillId="0" borderId="0" xfId="0" applyFont="1" applyAlignment="1">
      <alignment horizontal="center"/>
    </xf>
    <xf numFmtId="0" fontId="31" fillId="0" borderId="0" xfId="0" applyFont="1" applyAlignment="1">
      <alignment horizontal="center" vertical="center"/>
    </xf>
    <xf numFmtId="168" fontId="6" fillId="0" borderId="0" xfId="0" applyNumberFormat="1" applyFont="1" applyAlignment="1">
      <alignment horizontal="left" vertical="top" wrapText="1"/>
    </xf>
    <xf numFmtId="10" fontId="2" fillId="0" borderId="35" xfId="0" applyNumberFormat="1" applyFont="1" applyBorder="1" applyAlignment="1">
      <alignment vertical="top" wrapText="1"/>
    </xf>
    <xf numFmtId="10" fontId="2" fillId="0" borderId="34" xfId="0" applyNumberFormat="1" applyFont="1" applyBorder="1" applyAlignment="1">
      <alignment vertical="top" wrapText="1"/>
    </xf>
    <xf numFmtId="10" fontId="2" fillId="0" borderId="39" xfId="0" applyNumberFormat="1" applyFont="1" applyBorder="1" applyAlignment="1">
      <alignment vertical="top" wrapText="1"/>
    </xf>
    <xf numFmtId="10" fontId="2" fillId="0" borderId="34" xfId="0" applyNumberFormat="1" applyFont="1" applyBorder="1" applyAlignment="1">
      <alignment vertical="top"/>
    </xf>
    <xf numFmtId="10" fontId="2" fillId="0" borderId="35" xfId="0" applyNumberFormat="1" applyFont="1" applyBorder="1" applyAlignment="1">
      <alignment vertical="top"/>
    </xf>
    <xf numFmtId="10" fontId="2" fillId="0" borderId="39" xfId="0" applyNumberFormat="1" applyFont="1" applyBorder="1" applyAlignment="1">
      <alignment vertical="top"/>
    </xf>
    <xf numFmtId="0" fontId="0" fillId="0" borderId="0" xfId="0" applyAlignment="1">
      <alignment horizontal="left"/>
    </xf>
    <xf numFmtId="1" fontId="0" fillId="0" borderId="34" xfId="0" applyNumberFormat="1" applyBorder="1" applyAlignment="1">
      <alignment horizontal="left" vertical="top"/>
    </xf>
    <xf numFmtId="0" fontId="2" fillId="3" borderId="2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 vertical="top" wrapText="1"/>
    </xf>
    <xf numFmtId="0" fontId="2" fillId="4" borderId="16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2" xfId="0" applyNumberFormat="1" applyFont="1" applyFill="1" applyBorder="1" applyAlignment="1">
      <alignment horizontal="center" vertical="top" wrapText="1"/>
    </xf>
    <xf numFmtId="14" fontId="2" fillId="2" borderId="16" xfId="0" applyNumberFormat="1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0" fillId="0" borderId="36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10" borderId="25" xfId="0" applyFont="1" applyFill="1" applyBorder="1" applyAlignment="1">
      <alignment horizontal="center" vertical="top" wrapText="1"/>
    </xf>
    <xf numFmtId="0" fontId="2" fillId="10" borderId="26" xfId="0" applyFont="1" applyFill="1" applyBorder="1" applyAlignment="1">
      <alignment horizontal="center" vertical="top" wrapText="1"/>
    </xf>
    <xf numFmtId="0" fontId="2" fillId="10" borderId="27" xfId="0" applyFont="1" applyFill="1" applyBorder="1" applyAlignment="1">
      <alignment horizontal="center" vertical="top" wrapText="1"/>
    </xf>
    <xf numFmtId="0" fontId="2" fillId="10" borderId="22" xfId="0" applyFont="1" applyFill="1" applyBorder="1" applyAlignment="1">
      <alignment horizontal="right" vertical="top" wrapText="1"/>
    </xf>
    <xf numFmtId="0" fontId="2" fillId="10" borderId="0" xfId="0" applyFont="1" applyFill="1" applyAlignment="1">
      <alignment horizontal="right" vertical="top" wrapText="1"/>
    </xf>
    <xf numFmtId="0" fontId="2" fillId="10" borderId="28" xfId="0" applyFont="1" applyFill="1" applyBorder="1" applyAlignment="1">
      <alignment horizontal="right" vertical="top" wrapText="1"/>
    </xf>
    <xf numFmtId="0" fontId="2" fillId="10" borderId="22" xfId="0" applyFont="1" applyFill="1" applyBorder="1" applyAlignment="1">
      <alignment horizontal="center" vertical="top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top" wrapText="1"/>
    </xf>
    <xf numFmtId="0" fontId="23" fillId="2" borderId="16" xfId="0" applyFont="1" applyFill="1" applyBorder="1" applyAlignment="1">
      <alignment horizontal="center" vertical="top" wrapText="1"/>
    </xf>
    <xf numFmtId="0" fontId="23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right" vertical="top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38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2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 wrapText="1"/>
    </xf>
    <xf numFmtId="0" fontId="0" fillId="0" borderId="16" xfId="0" applyBorder="1" applyAlignment="1">
      <alignment horizontal="right" vertical="top" wrapText="1"/>
    </xf>
    <xf numFmtId="0" fontId="2" fillId="10" borderId="28" xfId="0" applyFont="1" applyFill="1" applyBorder="1" applyAlignment="1">
      <alignment horizontal="center" vertical="top" wrapText="1"/>
    </xf>
    <xf numFmtId="0" fontId="2" fillId="10" borderId="0" xfId="0" applyFont="1" applyFill="1" applyAlignment="1">
      <alignment horizontal="center" vertical="top" wrapText="1"/>
    </xf>
    <xf numFmtId="0" fontId="2" fillId="10" borderId="29" xfId="0" applyFont="1" applyFill="1" applyBorder="1" applyAlignment="1">
      <alignment horizontal="center" vertical="top" wrapText="1"/>
    </xf>
    <xf numFmtId="0" fontId="45" fillId="0" borderId="2" xfId="0" applyFont="1" applyBorder="1" applyAlignment="1">
      <alignment horizontal="left" vertical="top" wrapText="1"/>
    </xf>
    <xf numFmtId="0" fontId="45" fillId="0" borderId="16" xfId="0" applyFont="1" applyBorder="1" applyAlignment="1">
      <alignment horizontal="left" vertical="top" wrapText="1"/>
    </xf>
    <xf numFmtId="0" fontId="45" fillId="0" borderId="3" xfId="0" applyFont="1" applyBorder="1" applyAlignment="1">
      <alignment horizontal="left" vertical="top" wrapText="1"/>
    </xf>
    <xf numFmtId="0" fontId="45" fillId="0" borderId="2" xfId="0" applyFont="1" applyBorder="1" applyAlignment="1">
      <alignment horizontal="left" vertical="top"/>
    </xf>
    <xf numFmtId="0" fontId="45" fillId="0" borderId="16" xfId="0" applyFont="1" applyBorder="1" applyAlignment="1">
      <alignment horizontal="left" vertical="top"/>
    </xf>
    <xf numFmtId="0" fontId="45" fillId="0" borderId="3" xfId="0" applyFont="1" applyBorder="1" applyAlignment="1">
      <alignment horizontal="left" vertical="top"/>
    </xf>
    <xf numFmtId="0" fontId="2" fillId="10" borderId="33" xfId="0" applyFont="1" applyFill="1" applyBorder="1" applyAlignment="1">
      <alignment horizontal="right" vertical="top" wrapText="1"/>
    </xf>
    <xf numFmtId="0" fontId="2" fillId="10" borderId="37" xfId="0" applyFont="1" applyFill="1" applyBorder="1" applyAlignment="1">
      <alignment horizontal="right" vertical="top" wrapText="1"/>
    </xf>
    <xf numFmtId="0" fontId="2" fillId="10" borderId="23" xfId="0" applyFont="1" applyFill="1" applyBorder="1" applyAlignment="1">
      <alignment horizontal="right" vertical="top" wrapText="1"/>
    </xf>
    <xf numFmtId="0" fontId="4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3" fillId="2" borderId="0" xfId="0" applyFont="1" applyFill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center"/>
    </xf>
    <xf numFmtId="0" fontId="2" fillId="0" borderId="4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top" wrapText="1"/>
    </xf>
    <xf numFmtId="0" fontId="8" fillId="2" borderId="0" xfId="0" applyFont="1" applyFill="1" applyAlignment="1">
      <alignment horizontal="center" vertical="top"/>
    </xf>
    <xf numFmtId="0" fontId="33" fillId="0" borderId="0" xfId="0" quotePrefix="1" applyFont="1" applyAlignment="1">
      <alignment horizontal="center" vertical="top" wrapText="1"/>
    </xf>
    <xf numFmtId="2" fontId="57" fillId="0" borderId="0" xfId="0" applyNumberFormat="1" applyFont="1" applyAlignment="1">
      <alignment horizontal="left" vertical="top" wrapText="1"/>
    </xf>
    <xf numFmtId="2" fontId="52" fillId="0" borderId="22" xfId="0" applyNumberFormat="1" applyFont="1" applyBorder="1" applyAlignment="1">
      <alignment horizontal="left" vertical="top" wrapText="1"/>
    </xf>
    <xf numFmtId="0" fontId="8" fillId="0" borderId="19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2" borderId="0" xfId="0" applyFont="1" applyFill="1" applyAlignment="1">
      <alignment horizontal="center" vertical="center" wrapText="1"/>
    </xf>
    <xf numFmtId="10" fontId="2" fillId="0" borderId="18" xfId="0" applyNumberFormat="1" applyFont="1" applyBorder="1" applyAlignment="1">
      <alignment horizontal="center"/>
    </xf>
    <xf numFmtId="10" fontId="2" fillId="0" borderId="20" xfId="0" applyNumberFormat="1" applyFont="1" applyBorder="1" applyAlignment="1">
      <alignment horizontal="center"/>
    </xf>
    <xf numFmtId="10" fontId="2" fillId="0" borderId="34" xfId="0" applyNumberFormat="1" applyFont="1" applyBorder="1" applyAlignment="1">
      <alignment horizontal="center" vertical="center"/>
    </xf>
    <xf numFmtId="10" fontId="2" fillId="0" borderId="39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10" fontId="2" fillId="0" borderId="0" xfId="0" applyNumberFormat="1" applyFont="1" applyAlignment="1">
      <alignment horizontal="center"/>
    </xf>
    <xf numFmtId="1" fontId="2" fillId="0" borderId="34" xfId="0" applyNumberFormat="1" applyFont="1" applyBorder="1" applyAlignment="1">
      <alignment horizontal="center" vertical="center"/>
    </xf>
    <xf numFmtId="1" fontId="2" fillId="0" borderId="39" xfId="0" applyNumberFormat="1" applyFont="1" applyBorder="1" applyAlignment="1">
      <alignment horizontal="center" vertical="center"/>
    </xf>
    <xf numFmtId="10" fontId="2" fillId="0" borderId="19" xfId="0" applyNumberFormat="1" applyFont="1" applyBorder="1" applyAlignment="1">
      <alignment horizontal="center"/>
    </xf>
    <xf numFmtId="0" fontId="2" fillId="0" borderId="0" xfId="0" applyFont="1" applyAlignment="1">
      <alignment horizontal="left" vertical="top"/>
    </xf>
    <xf numFmtId="1" fontId="29" fillId="0" borderId="0" xfId="0" applyNumberFormat="1" applyFont="1"/>
    <xf numFmtId="1" fontId="30" fillId="0" borderId="0" xfId="0" applyNumberFormat="1" applyFont="1"/>
    <xf numFmtId="1" fontId="0" fillId="2" borderId="43" xfId="0" applyNumberFormat="1" applyFill="1" applyBorder="1"/>
  </cellXfs>
  <cellStyles count="4">
    <cellStyle name="Link" xfId="3" builtinId="8"/>
    <cellStyle name="Normal" xfId="2" xr:uid="{0A6848D0-5FD2-514F-B563-7CA08FE7B4C3}"/>
    <cellStyle name="Standard" xfId="0" builtinId="0"/>
    <cellStyle name="Standard_4040800" xfId="1" xr:uid="{BAE11156-0543-B346-B3C5-632EB9A97AB7}"/>
  </cellStyles>
  <dxfs count="0"/>
  <tableStyles count="0" defaultTableStyle="TableStyleMedium2" defaultPivotStyle="PivotStyleLight16"/>
  <colors>
    <mruColors>
      <color rgb="FFE67E22"/>
      <color rgb="FFD35400"/>
      <color rgb="FF1ABC9C"/>
      <color rgb="FF2ECC71"/>
      <color rgb="FF34495E"/>
      <color rgb="FF9B59B6"/>
      <color rgb="FFF1C40F"/>
      <color rgb="FFE74C3C"/>
      <color rgb="FF3498DB"/>
      <color rgb="FF987C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Graphs!$D$7</c:f>
              <c:strCache>
                <c:ptCount val="1"/>
                <c:pt idx="0">
                  <c:v>Costs (€)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1C40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DF-C540-91C3-AC6FEB12AA8C}"/>
              </c:ext>
            </c:extLst>
          </c:dPt>
          <c:dPt>
            <c:idx val="1"/>
            <c:invertIfNegative val="0"/>
            <c:bubble3D val="0"/>
            <c:spPr>
              <a:solidFill>
                <a:srgbClr val="1ABC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9DF-C540-91C3-AC6FEB12AA8C}"/>
              </c:ext>
            </c:extLst>
          </c:dPt>
          <c:dPt>
            <c:idx val="2"/>
            <c:invertIfNegative val="0"/>
            <c:bubble3D val="0"/>
            <c:spPr>
              <a:solidFill>
                <a:srgbClr val="F1C40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9DF-C540-91C3-AC6FEB12AA8C}"/>
              </c:ext>
            </c:extLst>
          </c:dPt>
          <c:dPt>
            <c:idx val="3"/>
            <c:invertIfNegative val="0"/>
            <c:bubble3D val="0"/>
            <c:spPr>
              <a:solidFill>
                <a:srgbClr val="1ABC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DF-C540-91C3-AC6FEB12AA8C}"/>
              </c:ext>
            </c:extLst>
          </c:dPt>
          <c:dPt>
            <c:idx val="4"/>
            <c:invertIfNegative val="0"/>
            <c:bubble3D val="0"/>
            <c:spPr>
              <a:solidFill>
                <a:srgbClr val="F1C40F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9DF-C540-91C3-AC6FEB12AA8C}"/>
              </c:ext>
            </c:extLst>
          </c:dPt>
          <c:dPt>
            <c:idx val="5"/>
            <c:invertIfNegative val="0"/>
            <c:bubble3D val="0"/>
            <c:spPr>
              <a:solidFill>
                <a:srgbClr val="1ABC9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9DF-C540-91C3-AC6FEB12AA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Graphs!$B$8:$C$13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Graphs!$D$8:$D$13</c:f>
              <c:numCache>
                <c:formatCode>0</c:formatCode>
                <c:ptCount val="6"/>
                <c:pt idx="0">
                  <c:v>528.60503856559671</c:v>
                </c:pt>
                <c:pt idx="1">
                  <c:v>830.20874425469333</c:v>
                </c:pt>
                <c:pt idx="2">
                  <c:v>492.05528896147734</c:v>
                </c:pt>
                <c:pt idx="3">
                  <c:v>745.44786088793637</c:v>
                </c:pt>
                <c:pt idx="4">
                  <c:v>466.82121518579106</c:v>
                </c:pt>
                <c:pt idx="5">
                  <c:v>684.66729656170082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9DF-C540-91C3-AC6FEB12AA8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32"/>
        <c:axId val="1676827119"/>
        <c:axId val="1676768127"/>
      </c:barChart>
      <c:catAx>
        <c:axId val="1676827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6768127"/>
        <c:crosses val="autoZero"/>
        <c:auto val="1"/>
        <c:lblAlgn val="ctr"/>
        <c:lblOffset val="100"/>
        <c:noMultiLvlLbl val="0"/>
      </c:catAx>
      <c:valAx>
        <c:axId val="1676768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Food basket costs per month</a:t>
                </a:r>
                <a:r>
                  <a:rPr lang="de-DE" baseline="0"/>
                  <a:t> (€)</a:t>
                </a:r>
                <a:endParaRPr lang="de-D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676827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Graphs!$D$22</c:f>
              <c:strCache>
                <c:ptCount val="1"/>
                <c:pt idx="0">
                  <c:v>Benchmark of 30%</c:v>
                </c:pt>
              </c:strCache>
            </c:strRef>
          </c:tx>
          <c:spPr>
            <a:solidFill>
              <a:srgbClr val="3498DB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Graphs!$B$23:$C$28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Graphs!$D$23:$D$28</c:f>
              <c:numCache>
                <c:formatCode>0</c:formatCode>
                <c:ptCount val="6"/>
                <c:pt idx="0">
                  <c:v>1763.3333333333333</c:v>
                </c:pt>
                <c:pt idx="1">
                  <c:v>2766.666666666667</c:v>
                </c:pt>
                <c:pt idx="2">
                  <c:v>1639.9999999999998</c:v>
                </c:pt>
                <c:pt idx="3">
                  <c:v>2483.333333333333</c:v>
                </c:pt>
                <c:pt idx="4">
                  <c:v>1556.6666666666667</c:v>
                </c:pt>
                <c:pt idx="5">
                  <c:v>2283.333333333333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4-0C40-82A1-894CFCE75E17}"/>
            </c:ext>
          </c:extLst>
        </c:ser>
        <c:ser>
          <c:idx val="1"/>
          <c:order val="1"/>
          <c:tx>
            <c:strRef>
              <c:f>Graphs!$E$22</c:f>
              <c:strCache>
                <c:ptCount val="1"/>
                <c:pt idx="0">
                  <c:v>Benchmark of 15%</c:v>
                </c:pt>
              </c:strCache>
            </c:strRef>
          </c:tx>
          <c:spPr>
            <a:solidFill>
              <a:srgbClr val="E74C3C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Graphs!$B$23:$C$28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Graphs!$E$23:$E$28</c:f>
              <c:numCache>
                <c:formatCode>0</c:formatCode>
                <c:ptCount val="6"/>
                <c:pt idx="0">
                  <c:v>3526.6666666666665</c:v>
                </c:pt>
                <c:pt idx="1">
                  <c:v>5533.3333333333339</c:v>
                </c:pt>
                <c:pt idx="2">
                  <c:v>3279.9999999999995</c:v>
                </c:pt>
                <c:pt idx="3">
                  <c:v>4966.6666666666661</c:v>
                </c:pt>
                <c:pt idx="4">
                  <c:v>3113.3333333333335</c:v>
                </c:pt>
                <c:pt idx="5">
                  <c:v>4566.6666666666661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4-0C40-82A1-894CFCE75E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00900160"/>
        <c:axId val="800901888"/>
      </c:barChart>
      <c:catAx>
        <c:axId val="800900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0901888"/>
        <c:crosses val="autoZero"/>
        <c:auto val="1"/>
        <c:lblAlgn val="ctr"/>
        <c:lblOffset val="100"/>
        <c:noMultiLvlLbl val="0"/>
      </c:catAx>
      <c:valAx>
        <c:axId val="80090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Required disposable income per month (€)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800900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Graphs!$B$43</c:f>
              <c:strCache>
                <c:ptCount val="1"/>
                <c:pt idx="0">
                  <c:v>1) Whole grains</c:v>
                </c:pt>
              </c:strCache>
            </c:strRef>
          </c:tx>
          <c:spPr>
            <a:solidFill>
              <a:srgbClr val="3498DB"/>
            </a:solidFill>
            <a:ln>
              <a:noFill/>
            </a:ln>
            <a:effectLst/>
          </c:spPr>
          <c:invertIfNegative val="0"/>
          <c:cat>
            <c:multiLvlStrRef>
              <c:f>Graphs!$C$41:$H$42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Graphs!$C$43:$H$43</c:f>
              <c:numCache>
                <c:formatCode>0</c:formatCode>
                <c:ptCount val="6"/>
                <c:pt idx="0">
                  <c:v>65.233080000000001</c:v>
                </c:pt>
                <c:pt idx="1">
                  <c:v>87.000479999999996</c:v>
                </c:pt>
                <c:pt idx="2">
                  <c:v>65.233080000000001</c:v>
                </c:pt>
                <c:pt idx="3">
                  <c:v>87.000479999999996</c:v>
                </c:pt>
                <c:pt idx="4">
                  <c:v>65.233080000000001</c:v>
                </c:pt>
                <c:pt idx="5">
                  <c:v>87.000479999999996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C2-C84E-9DDF-A6BB3947022A}"/>
            </c:ext>
          </c:extLst>
        </c:ser>
        <c:ser>
          <c:idx val="1"/>
          <c:order val="1"/>
          <c:tx>
            <c:strRef>
              <c:f>Graphs!$B$44</c:f>
              <c:strCache>
                <c:ptCount val="1"/>
                <c:pt idx="0">
                  <c:v>2) Tubers/Starchy vegetables</c:v>
                </c:pt>
              </c:strCache>
            </c:strRef>
          </c:tx>
          <c:spPr>
            <a:solidFill>
              <a:srgbClr val="E74C3C"/>
            </a:solidFill>
            <a:ln>
              <a:noFill/>
            </a:ln>
            <a:effectLst/>
          </c:spPr>
          <c:invertIfNegative val="0"/>
          <c:cat>
            <c:multiLvlStrRef>
              <c:f>Graphs!$C$41:$H$42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Graphs!$C$44:$H$44</c:f>
              <c:numCache>
                <c:formatCode>0</c:formatCode>
                <c:ptCount val="6"/>
                <c:pt idx="0">
                  <c:v>5.0760000000000005</c:v>
                </c:pt>
                <c:pt idx="1">
                  <c:v>8.0730000000000004</c:v>
                </c:pt>
                <c:pt idx="2">
                  <c:v>5.0760000000000005</c:v>
                </c:pt>
                <c:pt idx="3">
                  <c:v>8.0730000000000004</c:v>
                </c:pt>
                <c:pt idx="4">
                  <c:v>5.0760000000000005</c:v>
                </c:pt>
                <c:pt idx="5">
                  <c:v>8.0730000000000004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C2-C84E-9DDF-A6BB3947022A}"/>
            </c:ext>
          </c:extLst>
        </c:ser>
        <c:ser>
          <c:idx val="2"/>
          <c:order val="2"/>
          <c:tx>
            <c:strRef>
              <c:f>Graphs!$B$45</c:f>
              <c:strCache>
                <c:ptCount val="1"/>
                <c:pt idx="0">
                  <c:v>3) Vegetables</c:v>
                </c:pt>
              </c:strCache>
            </c:strRef>
          </c:tx>
          <c:spPr>
            <a:solidFill>
              <a:srgbClr val="2ECC71"/>
            </a:solidFill>
            <a:ln>
              <a:noFill/>
            </a:ln>
            <a:effectLst/>
          </c:spPr>
          <c:invertIfNegative val="0"/>
          <c:cat>
            <c:multiLvlStrRef>
              <c:f>Graphs!$C$41:$H$42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Graphs!$C$45:$H$45</c:f>
              <c:numCache>
                <c:formatCode>0</c:formatCode>
                <c:ptCount val="6"/>
                <c:pt idx="0">
                  <c:v>77.4378548916022</c:v>
                </c:pt>
                <c:pt idx="1">
                  <c:v>119.56634187611729</c:v>
                </c:pt>
                <c:pt idx="2">
                  <c:v>77.4378548916022</c:v>
                </c:pt>
                <c:pt idx="3">
                  <c:v>119.56634187611729</c:v>
                </c:pt>
                <c:pt idx="4">
                  <c:v>77.4378548916022</c:v>
                </c:pt>
                <c:pt idx="5">
                  <c:v>119.56634187611729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C2-C84E-9DDF-A6BB3947022A}"/>
            </c:ext>
          </c:extLst>
        </c:ser>
        <c:ser>
          <c:idx val="3"/>
          <c:order val="3"/>
          <c:tx>
            <c:strRef>
              <c:f>Graphs!$B$46</c:f>
              <c:strCache>
                <c:ptCount val="1"/>
                <c:pt idx="0">
                  <c:v>4) Fruits</c:v>
                </c:pt>
              </c:strCache>
            </c:strRef>
          </c:tx>
          <c:spPr>
            <a:solidFill>
              <a:srgbClr val="9B59B6"/>
            </a:solidFill>
            <a:ln>
              <a:noFill/>
            </a:ln>
            <a:effectLst/>
          </c:spPr>
          <c:invertIfNegative val="0"/>
          <c:cat>
            <c:multiLvlStrRef>
              <c:f>Graphs!$C$41:$H$42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Graphs!$C$46:$H$46</c:f>
              <c:numCache>
                <c:formatCode>0</c:formatCode>
                <c:ptCount val="6"/>
                <c:pt idx="0">
                  <c:v>46.872956966567386</c:v>
                </c:pt>
                <c:pt idx="1">
                  <c:v>72.639735945874051</c:v>
                </c:pt>
                <c:pt idx="2">
                  <c:v>46.872956966567386</c:v>
                </c:pt>
                <c:pt idx="3">
                  <c:v>72.639735945874051</c:v>
                </c:pt>
                <c:pt idx="4">
                  <c:v>46.872956966567386</c:v>
                </c:pt>
                <c:pt idx="5">
                  <c:v>72.639735945874051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AC2-C84E-9DDF-A6BB3947022A}"/>
            </c:ext>
          </c:extLst>
        </c:ser>
        <c:ser>
          <c:idx val="4"/>
          <c:order val="4"/>
          <c:tx>
            <c:strRef>
              <c:f>Graphs!$B$47</c:f>
              <c:strCache>
                <c:ptCount val="1"/>
                <c:pt idx="0">
                  <c:v>5) Dairy foods</c:v>
                </c:pt>
              </c:strCache>
            </c:strRef>
          </c:tx>
          <c:spPr>
            <a:solidFill>
              <a:srgbClr val="F1C40F"/>
            </a:solidFill>
            <a:ln>
              <a:noFill/>
            </a:ln>
            <a:effectLst/>
          </c:spPr>
          <c:invertIfNegative val="0"/>
          <c:cat>
            <c:multiLvlStrRef>
              <c:f>Graphs!$C$41:$H$42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Graphs!$C$47:$H$47</c:f>
              <c:numCache>
                <c:formatCode>0</c:formatCode>
                <c:ptCount val="6"/>
                <c:pt idx="0">
                  <c:v>79.077600000000018</c:v>
                </c:pt>
                <c:pt idx="1">
                  <c:v>105.2244</c:v>
                </c:pt>
                <c:pt idx="2">
                  <c:v>79.077600000000018</c:v>
                </c:pt>
                <c:pt idx="3">
                  <c:v>105.2244</c:v>
                </c:pt>
                <c:pt idx="4">
                  <c:v>79.077600000000018</c:v>
                </c:pt>
                <c:pt idx="5">
                  <c:v>105.2244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AC2-C84E-9DDF-A6BB3947022A}"/>
            </c:ext>
          </c:extLst>
        </c:ser>
        <c:ser>
          <c:idx val="5"/>
          <c:order val="5"/>
          <c:tx>
            <c:strRef>
              <c:f>Graphs!$B$48</c:f>
              <c:strCache>
                <c:ptCount val="1"/>
                <c:pt idx="0">
                  <c:v>6) Protein sources</c:v>
                </c:pt>
              </c:strCache>
            </c:strRef>
          </c:tx>
          <c:spPr>
            <a:solidFill>
              <a:srgbClr val="34495E"/>
            </a:solidFill>
            <a:ln>
              <a:noFill/>
            </a:ln>
            <a:effectLst/>
          </c:spPr>
          <c:invertIfNegative val="0"/>
          <c:cat>
            <c:multiLvlStrRef>
              <c:f>Graphs!$C$41:$H$42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Graphs!$C$48:$H$48</c:f>
              <c:numCache>
                <c:formatCode>0</c:formatCode>
                <c:ptCount val="6"/>
                <c:pt idx="0">
                  <c:v>166.07715627885574</c:v>
                </c:pt>
                <c:pt idx="1">
                  <c:v>276.77894243270191</c:v>
                </c:pt>
                <c:pt idx="2">
                  <c:v>129.80564827473623</c:v>
                </c:pt>
                <c:pt idx="3">
                  <c:v>192.70954706594503</c:v>
                </c:pt>
                <c:pt idx="4">
                  <c:v>104.29333289905011</c:v>
                </c:pt>
                <c:pt idx="5">
                  <c:v>131.23749473970946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AC2-C84E-9DDF-A6BB3947022A}"/>
            </c:ext>
          </c:extLst>
        </c:ser>
        <c:ser>
          <c:idx val="6"/>
          <c:order val="6"/>
          <c:tx>
            <c:strRef>
              <c:f>Graphs!$B$49</c:f>
              <c:strCache>
                <c:ptCount val="1"/>
                <c:pt idx="0">
                  <c:v>7) Added fats</c:v>
                </c:pt>
              </c:strCache>
            </c:strRef>
          </c:tx>
          <c:spPr>
            <a:solidFill>
              <a:srgbClr val="E67E22"/>
            </a:solidFill>
            <a:ln>
              <a:noFill/>
            </a:ln>
            <a:effectLst/>
          </c:spPr>
          <c:invertIfNegative val="0"/>
          <c:cat>
            <c:multiLvlStrRef>
              <c:f>Graphs!$C$41:$H$42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Graphs!$C$49:$H$49</c:f>
              <c:numCache>
                <c:formatCode>0</c:formatCode>
                <c:ptCount val="6"/>
                <c:pt idx="0">
                  <c:v>34.073711999999993</c:v>
                </c:pt>
                <c:pt idx="1">
                  <c:v>50.467104000000006</c:v>
                </c:pt>
                <c:pt idx="2">
                  <c:v>33.795470399999999</c:v>
                </c:pt>
                <c:pt idx="3">
                  <c:v>49.775615999999999</c:v>
                </c:pt>
                <c:pt idx="4">
                  <c:v>34.073711999999993</c:v>
                </c:pt>
                <c:pt idx="5">
                  <c:v>50.467104000000006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AC2-C84E-9DDF-A6BB3947022A}"/>
            </c:ext>
          </c:extLst>
        </c:ser>
        <c:ser>
          <c:idx val="7"/>
          <c:order val="7"/>
          <c:tx>
            <c:strRef>
              <c:f>Graphs!$B$50</c:f>
              <c:strCache>
                <c:ptCount val="1"/>
                <c:pt idx="0">
                  <c:v>8) Added sugars and sweets</c:v>
                </c:pt>
              </c:strCache>
            </c:strRef>
          </c:tx>
          <c:spPr>
            <a:solidFill>
              <a:srgbClr val="1ABC9C"/>
            </a:solidFill>
            <a:ln>
              <a:noFill/>
            </a:ln>
            <a:effectLst/>
          </c:spPr>
          <c:invertIfNegative val="0"/>
          <c:cat>
            <c:multiLvlStrRef>
              <c:f>Graphs!$C$41:$H$42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Graphs!$C$50:$H$50</c:f>
              <c:numCache>
                <c:formatCode>0</c:formatCode>
                <c:ptCount val="6"/>
                <c:pt idx="0">
                  <c:v>12.499200000000002</c:v>
                </c:pt>
                <c:pt idx="1">
                  <c:v>30.874139999999997</c:v>
                </c:pt>
                <c:pt idx="2">
                  <c:v>12.499200000000002</c:v>
                </c:pt>
                <c:pt idx="3">
                  <c:v>30.874139999999997</c:v>
                </c:pt>
                <c:pt idx="4">
                  <c:v>12.499200000000002</c:v>
                </c:pt>
                <c:pt idx="5">
                  <c:v>30.874139999999997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AC2-C84E-9DDF-A6BB3947022A}"/>
            </c:ext>
          </c:extLst>
        </c:ser>
        <c:ser>
          <c:idx val="8"/>
          <c:order val="8"/>
          <c:tx>
            <c:strRef>
              <c:f>Graphs!$B$51</c:f>
              <c:strCache>
                <c:ptCount val="1"/>
                <c:pt idx="0">
                  <c:v>9) Beverages </c:v>
                </c:pt>
              </c:strCache>
            </c:strRef>
          </c:tx>
          <c:spPr>
            <a:solidFill>
              <a:srgbClr val="D35400"/>
            </a:solidFill>
            <a:ln>
              <a:noFill/>
            </a:ln>
            <a:effectLst/>
          </c:spPr>
          <c:invertIfNegative val="0"/>
          <c:cat>
            <c:multiLvlStrRef>
              <c:f>Graphs!$C$41:$H$42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Graphs!$C$51:$H$51</c:f>
              <c:numCache>
                <c:formatCode>0</c:formatCode>
                <c:ptCount val="6"/>
                <c:pt idx="0">
                  <c:v>42.257478428571432</c:v>
                </c:pt>
                <c:pt idx="1">
                  <c:v>79.584600000000009</c:v>
                </c:pt>
                <c:pt idx="2">
                  <c:v>42.257478428571432</c:v>
                </c:pt>
                <c:pt idx="3">
                  <c:v>79.584600000000009</c:v>
                </c:pt>
                <c:pt idx="4">
                  <c:v>42.257478428571432</c:v>
                </c:pt>
                <c:pt idx="5">
                  <c:v>79.584600000000009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AC2-C84E-9DDF-A6BB39470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39481679"/>
        <c:axId val="1408348303"/>
      </c:barChart>
      <c:catAx>
        <c:axId val="133948167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408348303"/>
        <c:crosses val="autoZero"/>
        <c:auto val="1"/>
        <c:lblAlgn val="ctr"/>
        <c:lblOffset val="100"/>
        <c:noMultiLvlLbl val="0"/>
      </c:catAx>
      <c:valAx>
        <c:axId val="1408348303"/>
        <c:scaling>
          <c:orientation val="minMax"/>
          <c:max val="85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394816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Graphs!$B$61</c:f>
              <c:strCache>
                <c:ptCount val="1"/>
                <c:pt idx="0">
                  <c:v>Meat</c:v>
                </c:pt>
              </c:strCache>
            </c:strRef>
          </c:tx>
          <c:spPr>
            <a:solidFill>
              <a:srgbClr val="9B59B6"/>
            </a:solidFill>
            <a:ln>
              <a:noFill/>
            </a:ln>
            <a:effectLst/>
          </c:spPr>
          <c:invertIfNegative val="0"/>
          <c:cat>
            <c:multiLvlStrRef>
              <c:f>Graphs!$C$59:$H$60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Graphs!$C$61:$H$61</c:f>
              <c:numCache>
                <c:formatCode>0</c:formatCode>
                <c:ptCount val="6"/>
                <c:pt idx="0">
                  <c:v>86.423713846153859</c:v>
                </c:pt>
                <c:pt idx="1">
                  <c:v>182.91005999999999</c:v>
                </c:pt>
                <c:pt idx="2">
                  <c:v>43.21185692307693</c:v>
                </c:pt>
                <c:pt idx="3">
                  <c:v>91.455029999999994</c:v>
                </c:pt>
                <c:pt idx="4">
                  <c:v>10.802964230769232</c:v>
                </c:pt>
                <c:pt idx="5">
                  <c:v>22.863757499999998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58-BA41-BDDF-3FB663C557F4}"/>
            </c:ext>
          </c:extLst>
        </c:ser>
        <c:ser>
          <c:idx val="1"/>
          <c:order val="1"/>
          <c:tx>
            <c:strRef>
              <c:f>Graphs!$B$62</c:f>
              <c:strCache>
                <c:ptCount val="1"/>
                <c:pt idx="0">
                  <c:v>Eggs</c:v>
                </c:pt>
              </c:strCache>
            </c:strRef>
          </c:tx>
          <c:spPr>
            <a:solidFill>
              <a:srgbClr val="34495E"/>
            </a:solidFill>
            <a:ln>
              <a:noFill/>
            </a:ln>
            <a:effectLst/>
          </c:spPr>
          <c:invertIfNegative val="0"/>
          <c:cat>
            <c:multiLvlStrRef>
              <c:f>Graphs!$C$59:$H$60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Graphs!$C$62:$H$62</c:f>
              <c:numCache>
                <c:formatCode>0</c:formatCode>
                <c:ptCount val="6"/>
                <c:pt idx="0">
                  <c:v>5.5879200000000013</c:v>
                </c:pt>
                <c:pt idx="1">
                  <c:v>10.07136</c:v>
                </c:pt>
                <c:pt idx="2">
                  <c:v>5.5879200000000013</c:v>
                </c:pt>
                <c:pt idx="3">
                  <c:v>10.07136</c:v>
                </c:pt>
                <c:pt idx="4">
                  <c:v>5.5879200000000013</c:v>
                </c:pt>
                <c:pt idx="5">
                  <c:v>10.07136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58-BA41-BDDF-3FB663C557F4}"/>
            </c:ext>
          </c:extLst>
        </c:ser>
        <c:ser>
          <c:idx val="2"/>
          <c:order val="2"/>
          <c:tx>
            <c:strRef>
              <c:f>Graphs!$B$63</c:f>
              <c:strCache>
                <c:ptCount val="1"/>
                <c:pt idx="0">
                  <c:v>Legumes and soy</c:v>
                </c:pt>
              </c:strCache>
            </c:strRef>
          </c:tx>
          <c:spPr>
            <a:solidFill>
              <a:srgbClr val="1ABC9C"/>
            </a:solidFill>
            <a:ln>
              <a:noFill/>
            </a:ln>
            <a:effectLst/>
          </c:spPr>
          <c:invertIfNegative val="0"/>
          <c:cat>
            <c:multiLvlStrRef>
              <c:f>Graphs!$C$59:$H$60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Graphs!$C$63:$H$63</c:f>
              <c:numCache>
                <c:formatCode>0</c:formatCode>
                <c:ptCount val="6"/>
                <c:pt idx="0">
                  <c:v>29.704522432701896</c:v>
                </c:pt>
                <c:pt idx="1">
                  <c:v>32.821522432701897</c:v>
                </c:pt>
                <c:pt idx="2">
                  <c:v>36.644871351659305</c:v>
                </c:pt>
                <c:pt idx="3">
                  <c:v>40.207157065945026</c:v>
                </c:pt>
                <c:pt idx="4">
                  <c:v>43.541448668280879</c:v>
                </c:pt>
                <c:pt idx="5">
                  <c:v>47.326377239709444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F58-BA41-BDDF-3FB663C557F4}"/>
            </c:ext>
          </c:extLst>
        </c:ser>
        <c:ser>
          <c:idx val="3"/>
          <c:order val="3"/>
          <c:tx>
            <c:strRef>
              <c:f>Graphs!$B$64</c:f>
              <c:strCache>
                <c:ptCount val="1"/>
                <c:pt idx="0">
                  <c:v>Nuts</c:v>
                </c:pt>
              </c:strCache>
            </c:strRef>
          </c:tx>
          <c:spPr>
            <a:solidFill>
              <a:srgbClr val="E67E22"/>
            </a:solidFill>
            <a:ln>
              <a:noFill/>
            </a:ln>
            <a:effectLst/>
          </c:spPr>
          <c:invertIfNegative val="0"/>
          <c:cat>
            <c:multiLvlStrRef>
              <c:f>Graphs!$C$59:$H$60</c:f>
              <c:multiLvlStrCache>
                <c:ptCount val="6"/>
                <c:lvl>
                  <c:pt idx="0">
                    <c:v>Conventional</c:v>
                  </c:pt>
                  <c:pt idx="1">
                    <c:v>Organic</c:v>
                  </c:pt>
                  <c:pt idx="2">
                    <c:v>Conventional</c:v>
                  </c:pt>
                  <c:pt idx="3">
                    <c:v>Organic</c:v>
                  </c:pt>
                  <c:pt idx="4">
                    <c:v>Conventional</c:v>
                  </c:pt>
                  <c:pt idx="5">
                    <c:v>Organic</c:v>
                  </c:pt>
                </c:lvl>
                <c:lvl>
                  <c:pt idx="0">
                    <c:v>Heavy</c:v>
                  </c:pt>
                  <c:pt idx="2">
                    <c:v>Moderate</c:v>
                  </c:pt>
                  <c:pt idx="4">
                    <c:v>Light</c:v>
                  </c:pt>
                </c:lvl>
              </c:multiLvlStrCache>
            </c:multiLvlStrRef>
          </c:cat>
          <c:val>
            <c:numRef>
              <c:f>Graphs!$C$64:$H$64</c:f>
              <c:numCache>
                <c:formatCode>0</c:formatCode>
                <c:ptCount val="6"/>
                <c:pt idx="0">
                  <c:v>44.360999999999997</c:v>
                </c:pt>
                <c:pt idx="1">
                  <c:v>50.975999999999992</c:v>
                </c:pt>
                <c:pt idx="2">
                  <c:v>44.360999999999997</c:v>
                </c:pt>
                <c:pt idx="3">
                  <c:v>50.975999999999992</c:v>
                </c:pt>
                <c:pt idx="4">
                  <c:v>44.360999999999997</c:v>
                </c:pt>
                <c:pt idx="5">
                  <c:v>50.975999999999992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F58-BA41-BDDF-3FB663C557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100"/>
        <c:axId val="1215368559"/>
        <c:axId val="1215572543"/>
      </c:barChart>
      <c:catAx>
        <c:axId val="1215368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15572543"/>
        <c:crosses val="autoZero"/>
        <c:auto val="1"/>
        <c:lblAlgn val="ctr"/>
        <c:lblOffset val="100"/>
        <c:noMultiLvlLbl val="0"/>
      </c:catAx>
      <c:valAx>
        <c:axId val="1215572543"/>
        <c:scaling>
          <c:orientation val="minMax"/>
          <c:max val="28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2153685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3</xdr:row>
      <xdr:rowOff>50800</xdr:rowOff>
    </xdr:from>
    <xdr:to>
      <xdr:col>12</xdr:col>
      <xdr:colOff>215900</xdr:colOff>
      <xdr:row>16</xdr:row>
      <xdr:rowOff>152400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A106BA50-B484-6E47-8860-CC39FA8EBF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387350</xdr:colOff>
      <xdr:row>19</xdr:row>
      <xdr:rowOff>175638</xdr:rowOff>
    </xdr:from>
    <xdr:to>
      <xdr:col>12</xdr:col>
      <xdr:colOff>571500</xdr:colOff>
      <xdr:row>34</xdr:row>
      <xdr:rowOff>11078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D9F71B03-E7CF-FF44-8D04-BA442920C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-1</xdr:colOff>
      <xdr:row>39</xdr:row>
      <xdr:rowOff>152400</xdr:rowOff>
    </xdr:from>
    <xdr:to>
      <xdr:col>21</xdr:col>
      <xdr:colOff>296333</xdr:colOff>
      <xdr:row>49</xdr:row>
      <xdr:rowOff>406400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9E38D6E7-AE52-1B39-00C1-B13082CD34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795867</xdr:colOff>
      <xdr:row>56</xdr:row>
      <xdr:rowOff>25400</xdr:rowOff>
    </xdr:from>
    <xdr:to>
      <xdr:col>20</xdr:col>
      <xdr:colOff>778934</xdr:colOff>
      <xdr:row>70</xdr:row>
      <xdr:rowOff>25400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EF1F6200-3A16-B8D9-97CD-18C846E694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48001-9876-8342-B443-4AF749C43661}">
  <sheetPr>
    <tabColor theme="2"/>
  </sheetPr>
  <dimension ref="A1:A32"/>
  <sheetViews>
    <sheetView workbookViewId="0">
      <selection activeCell="A27" sqref="A27"/>
    </sheetView>
  </sheetViews>
  <sheetFormatPr baseColWidth="10" defaultColWidth="11" defaultRowHeight="16" x14ac:dyDescent="0.2"/>
  <cols>
    <col min="1" max="1" width="107.5" customWidth="1"/>
  </cols>
  <sheetData>
    <row r="1" spans="1:1" x14ac:dyDescent="0.2">
      <c r="A1" t="s">
        <v>621</v>
      </c>
    </row>
    <row r="2" spans="1:1" ht="17" x14ac:dyDescent="0.2">
      <c r="A2" s="282" t="s">
        <v>0</v>
      </c>
    </row>
    <row r="3" spans="1:1" x14ac:dyDescent="0.2">
      <c r="A3" t="s">
        <v>1</v>
      </c>
    </row>
    <row r="6" spans="1:1" x14ac:dyDescent="0.2">
      <c r="A6" t="s">
        <v>2</v>
      </c>
    </row>
    <row r="7" spans="1:1" x14ac:dyDescent="0.2">
      <c r="A7" s="280" t="s">
        <v>3</v>
      </c>
    </row>
    <row r="8" spans="1:1" x14ac:dyDescent="0.2">
      <c r="A8" s="280" t="s">
        <v>4</v>
      </c>
    </row>
    <row r="9" spans="1:1" x14ac:dyDescent="0.2">
      <c r="A9" s="280" t="s">
        <v>639</v>
      </c>
    </row>
    <row r="10" spans="1:1" x14ac:dyDescent="0.2">
      <c r="A10" s="281" t="s">
        <v>5</v>
      </c>
    </row>
    <row r="11" spans="1:1" x14ac:dyDescent="0.2">
      <c r="A11" s="281" t="s">
        <v>6</v>
      </c>
    </row>
    <row r="12" spans="1:1" x14ac:dyDescent="0.2">
      <c r="A12" s="281" t="s">
        <v>7</v>
      </c>
    </row>
    <row r="13" spans="1:1" x14ac:dyDescent="0.2">
      <c r="A13" s="281" t="s">
        <v>8</v>
      </c>
    </row>
    <row r="14" spans="1:1" x14ac:dyDescent="0.2">
      <c r="A14" s="280" t="s">
        <v>640</v>
      </c>
    </row>
    <row r="15" spans="1:1" x14ac:dyDescent="0.2">
      <c r="A15" s="281" t="s">
        <v>5</v>
      </c>
    </row>
    <row r="16" spans="1:1" x14ac:dyDescent="0.2">
      <c r="A16" s="281" t="s">
        <v>6</v>
      </c>
    </row>
    <row r="17" spans="1:1" x14ac:dyDescent="0.2">
      <c r="A17" s="281" t="s">
        <v>7</v>
      </c>
    </row>
    <row r="18" spans="1:1" x14ac:dyDescent="0.2">
      <c r="A18" s="281" t="s">
        <v>8</v>
      </c>
    </row>
    <row r="19" spans="1:1" x14ac:dyDescent="0.2">
      <c r="A19" s="280" t="s">
        <v>641</v>
      </c>
    </row>
    <row r="20" spans="1:1" x14ac:dyDescent="0.2">
      <c r="A20" s="281" t="s">
        <v>5</v>
      </c>
    </row>
    <row r="21" spans="1:1" x14ac:dyDescent="0.2">
      <c r="A21" s="281" t="s">
        <v>6</v>
      </c>
    </row>
    <row r="22" spans="1:1" x14ac:dyDescent="0.2">
      <c r="A22" s="281" t="s">
        <v>7</v>
      </c>
    </row>
    <row r="23" spans="1:1" x14ac:dyDescent="0.2">
      <c r="A23" s="281" t="s">
        <v>8</v>
      </c>
    </row>
    <row r="24" spans="1:1" x14ac:dyDescent="0.2">
      <c r="A24" s="280" t="s">
        <v>9</v>
      </c>
    </row>
    <row r="25" spans="1:1" x14ac:dyDescent="0.2">
      <c r="A25" s="280" t="s">
        <v>642</v>
      </c>
    </row>
    <row r="26" spans="1:1" x14ac:dyDescent="0.2">
      <c r="A26" s="280" t="s">
        <v>643</v>
      </c>
    </row>
    <row r="27" spans="1:1" x14ac:dyDescent="0.2">
      <c r="A27" s="280" t="s">
        <v>10</v>
      </c>
    </row>
    <row r="28" spans="1:1" x14ac:dyDescent="0.2">
      <c r="A28" s="280" t="s">
        <v>11</v>
      </c>
    </row>
    <row r="30" spans="1:1" x14ac:dyDescent="0.2">
      <c r="A30" s="279"/>
    </row>
    <row r="31" spans="1:1" x14ac:dyDescent="0.2">
      <c r="A31" s="279"/>
    </row>
    <row r="32" spans="1:1" x14ac:dyDescent="0.2">
      <c r="A32" s="279"/>
    </row>
  </sheetData>
  <hyperlinks>
    <hyperlink ref="A7" location="'Price List REWE '!A1" display="- Assessed prices for conventional and organic food products in REWE with product name, price and quantity" xr:uid="{CDEC8677-9382-274C-A548-37AB5359C0DA}"/>
    <hyperlink ref="A8" location="'Price List ALDI Süd'!A1" display="- Assessed prices for conventional and organic food products in ALDI Süd with product name, price and quantity" xr:uid="{964F10EF-BE29-1C44-860E-A4E6DC3ACD0D}"/>
    <hyperlink ref="A9" location="'Light (L) PHD'!A1" display="- Amounts per day for the light meat reduced diet" xr:uid="{29D8CE32-86D9-C448-A452-6039DE9428B9}"/>
    <hyperlink ref="A10" location="'L Girl'!A1" display="- Quantities per day and month for the girl in the reference family" xr:uid="{B04B62FA-2712-514D-B518-53ED0A795D8D}"/>
    <hyperlink ref="A11" location="'L Boy'!A1" display="- Quantities per day and month for the boy in the reference family" xr:uid="{84938568-F4E4-764F-A1A5-39C89B486BAA}"/>
    <hyperlink ref="A12" location="'L Mother'!A1" display="- Quantities per day and month for the mother in the reference family" xr:uid="{30927705-2306-C94F-8226-8ED2DB0BD828}"/>
    <hyperlink ref="A13" location="'L Father'!A1" display="- Quantities per day and month for the father in the reference family" xr:uid="{ADCAD8AD-D7EA-9741-8EBC-A8E3580E30F2}"/>
    <hyperlink ref="A14" location="'Moderate (M) PHD'!A1" display="- Amounts per day for the moderate meat reduced diet" xr:uid="{630931FB-2753-7F45-B8A4-6ED9910CB804}"/>
    <hyperlink ref="A15" location="'M Girl '!A1" display="- Quantities per day and month for the girl in the reference family" xr:uid="{C03ADEB1-67C2-1F4B-8513-E7A303B92DB6}"/>
    <hyperlink ref="A16" location="'M Boy'!A1" display="- Quantities per day and month for the boy in the reference family" xr:uid="{611C5684-7389-F648-B0E4-4C7E5C7E9F2B}"/>
    <hyperlink ref="A17" location="'M Mother '!A1" display="- Quantities per day and month for the mother in the reference family" xr:uid="{50DE322B-46B7-D344-84DE-DA21295466CC}"/>
    <hyperlink ref="A18" location="'M Father '!A1" display="- Quantities per day and month for the father in the reference family" xr:uid="{99490AED-D9B0-6A4E-ABD9-DAA3F78154E7}"/>
    <hyperlink ref="A19" location="'Heavy (H) PHD'!A1" display="- Amounts per day for the heavy meat reduced diet" xr:uid="{98B20FF1-00F3-AF4B-AFAE-509332CFE8A4}"/>
    <hyperlink ref="A20" location="'H Girl  '!A1" display="- Quantities per day and month for the girl in the reference family" xr:uid="{667BBF23-D095-F64A-BEDC-F813F8A4FAF3}"/>
    <hyperlink ref="A21" location="'H Boy'!A1" display="- Quantities per day and month for the boy in the reference family" xr:uid="{F967FB1D-B80E-7642-B003-6AFCB7F6071A}"/>
    <hyperlink ref="A22" location="'H Mother '!A1" display="- Quantities per day and month for the mother in the reference family" xr:uid="{8EAD67B9-ED9D-3E4F-9101-C7AA95821347}"/>
    <hyperlink ref="A23" location="'H Father '!A1" display="- Quantities per day and month for the father in the reference family" xr:uid="{E55E6F5A-1D31-4940-B7CC-897E0DEB3D5F}"/>
    <hyperlink ref="A24" location="'Total Cost and Affordability'!A1" display="- Calculation of total cost and affordabiliy" xr:uid="{E743D003-218F-CB48-AA1C-7194F3801F91}"/>
    <hyperlink ref="A25" location="'Calculation Category Cost'!A1" display="- Calculation of Category Cost" xr:uid="{DC0E9E3C-792C-C246-9195-C7025C416067}"/>
    <hyperlink ref="A27" location="Graphs!A1" display="- Creation of graphics" xr:uid="{B67209BF-F4AF-EB45-9868-1ACC997A8251}"/>
    <hyperlink ref="A26" location="'Calculations of Share'!A1" display="- Calculation of share of vegetables and fruits according to the BMEL" xr:uid="{6786039B-2BA2-F24A-8707-705FEB053A88}"/>
    <hyperlink ref="A28" location="References!A1" display="- References" xr:uid="{01108D96-4094-F14D-AFCB-62AC376C872E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6CD5-AF50-5246-8273-DAED5DD06BE9}">
  <sheetPr codeName="Tabelle20">
    <tabColor theme="4" tint="0.79998168889431442"/>
    <pageSetUpPr fitToPage="1"/>
  </sheetPr>
  <dimension ref="A1:S135"/>
  <sheetViews>
    <sheetView topLeftCell="B1" zoomScale="75" zoomScaleNormal="80" workbookViewId="0">
      <pane ySplit="9" topLeftCell="A108" activePane="bottomLeft" state="frozen"/>
      <selection activeCell="B1" sqref="B1"/>
      <selection pane="bottomLeft" activeCell="H126" sqref="H126"/>
    </sheetView>
  </sheetViews>
  <sheetFormatPr baseColWidth="10" defaultColWidth="10.83203125" defaultRowHeight="16" x14ac:dyDescent="0.2"/>
  <cols>
    <col min="1" max="1" width="26.5" style="9" customWidth="1"/>
    <col min="2" max="2" width="28.1640625" style="1" customWidth="1"/>
    <col min="3" max="3" width="10.1640625" style="1" customWidth="1"/>
    <col min="4" max="4" width="19.33203125" style="1" customWidth="1"/>
    <col min="5" max="5" width="21.33203125" style="1" customWidth="1"/>
    <col min="6" max="6" width="15.1640625" style="1" customWidth="1"/>
    <col min="7" max="8" width="16" style="1" customWidth="1"/>
    <col min="9" max="10" width="15.5" style="1" customWidth="1"/>
    <col min="11" max="12" width="15.6640625" style="1" customWidth="1"/>
    <col min="13" max="13" width="15.33203125" style="1" customWidth="1"/>
    <col min="14" max="14" width="15.1640625" style="1" customWidth="1"/>
    <col min="15" max="15" width="10.83203125" style="1"/>
    <col min="16" max="16" width="14.33203125" style="1" customWidth="1"/>
    <col min="17" max="17" width="16.1640625" style="1" customWidth="1"/>
    <col min="18" max="16384" width="10.83203125" style="1"/>
  </cols>
  <sheetData>
    <row r="1" spans="1:17" ht="21" customHeight="1" x14ac:dyDescent="0.2">
      <c r="A1" s="420" t="s">
        <v>632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23" customHeight="1" x14ac:dyDescent="0.2">
      <c r="A2" s="420" t="s">
        <v>425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x14ac:dyDescent="0.2">
      <c r="A3" s="125"/>
      <c r="B3" s="126"/>
      <c r="C3" s="126"/>
      <c r="D3" s="126"/>
      <c r="E3" s="126"/>
      <c r="F3" s="13"/>
    </row>
    <row r="4" spans="1:17" x14ac:dyDescent="0.2">
      <c r="A4" s="430" t="s">
        <v>426</v>
      </c>
      <c r="B4" s="431"/>
      <c r="C4" s="9">
        <f>2000/2500</f>
        <v>0.8</v>
      </c>
      <c r="D4" s="114"/>
      <c r="E4" s="90"/>
      <c r="F4" s="13"/>
    </row>
    <row r="5" spans="1:17" x14ac:dyDescent="0.2">
      <c r="B5" s="9"/>
      <c r="C5" s="9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x14ac:dyDescent="0.2">
      <c r="B6" s="9"/>
      <c r="C6" s="9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B7" s="9"/>
      <c r="C7" s="9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455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185.60000000000002</v>
      </c>
      <c r="E11" s="4">
        <f>D11*$E$10</f>
        <v>1299.2000000000003</v>
      </c>
      <c r="F11" s="4">
        <f>811*C4</f>
        <v>648.80000000000007</v>
      </c>
    </row>
    <row r="12" spans="1:17" ht="19" customHeight="1" x14ac:dyDescent="0.2">
      <c r="B12" s="1" t="s">
        <v>24</v>
      </c>
      <c r="D12" s="1">
        <f>30*C4</f>
        <v>24</v>
      </c>
      <c r="E12" s="1">
        <f>D12*$E$10</f>
        <v>168</v>
      </c>
      <c r="G12" s="31">
        <f>'Price list REWE '!E9</f>
        <v>2.89</v>
      </c>
      <c r="H12" s="31">
        <f>G12/1000*D12</f>
        <v>6.9360000000000005E-2</v>
      </c>
      <c r="J12" s="42">
        <f>'Price list REWE '!H9</f>
        <v>2.89</v>
      </c>
      <c r="K12" s="42">
        <f>J12/1000*D12</f>
        <v>6.9360000000000005E-2</v>
      </c>
      <c r="M12" s="31">
        <f>'Price list ALDI Süd'!E9</f>
        <v>2.89</v>
      </c>
      <c r="N12" s="31">
        <f>M12/1000*D12</f>
        <v>6.9360000000000005E-2</v>
      </c>
      <c r="P12" s="42">
        <f>'Price list ALDI Süd'!H9</f>
        <v>2.89</v>
      </c>
      <c r="Q12" s="42">
        <f>P12/1000*D12</f>
        <v>6.9360000000000005E-2</v>
      </c>
    </row>
    <row r="13" spans="1:17" ht="17" x14ac:dyDescent="0.2">
      <c r="B13" s="1" t="s">
        <v>27</v>
      </c>
      <c r="D13" s="1">
        <f>50*C4</f>
        <v>40</v>
      </c>
      <c r="E13" s="1">
        <f t="shared" ref="E13:E16" si="0">D13*$E$10</f>
        <v>280</v>
      </c>
      <c r="G13" s="31">
        <f>'Price list REWE '!E10</f>
        <v>1.58</v>
      </c>
      <c r="H13" s="31">
        <f>G13/1000*D13</f>
        <v>6.3200000000000006E-2</v>
      </c>
      <c r="J13" s="42">
        <f>'Price list REWE '!H10</f>
        <v>4.38</v>
      </c>
      <c r="K13" s="42">
        <f>J13/1000*D13</f>
        <v>0.17520000000000002</v>
      </c>
      <c r="M13" s="31">
        <f>'Price list ALDI Süd'!E10</f>
        <v>3.48</v>
      </c>
      <c r="N13" s="31">
        <f>M13/1000*D13</f>
        <v>0.13919999999999999</v>
      </c>
      <c r="P13" s="42">
        <f>'Price list ALDI Süd'!H10</f>
        <v>4.38</v>
      </c>
      <c r="Q13" s="42">
        <f>P13/1000*D13</f>
        <v>0.17520000000000002</v>
      </c>
    </row>
    <row r="14" spans="1:17" ht="17" x14ac:dyDescent="0.2">
      <c r="B14" s="1" t="s">
        <v>30</v>
      </c>
      <c r="D14" s="1">
        <f>50*C4</f>
        <v>40</v>
      </c>
      <c r="E14" s="1">
        <f t="shared" si="0"/>
        <v>280</v>
      </c>
      <c r="G14" s="31">
        <f>'Price list REWE '!E11</f>
        <v>2.13</v>
      </c>
      <c r="H14" s="31">
        <f>G14/1000*D14</f>
        <v>8.5199999999999998E-2</v>
      </c>
      <c r="J14" s="42">
        <f>'Price list REWE '!H11</f>
        <v>4.25</v>
      </c>
      <c r="K14" s="42">
        <f>J14/1000*D14</f>
        <v>0.17</v>
      </c>
      <c r="M14" s="31">
        <f>'Price list ALDI Süd'!E11</f>
        <v>2.84</v>
      </c>
      <c r="N14" s="31">
        <f>M14/1000*D14</f>
        <v>0.11359999999999998</v>
      </c>
      <c r="P14" s="42">
        <f>'Price list ALDI Süd'!H11</f>
        <v>5.25</v>
      </c>
      <c r="Q14" s="42">
        <f>P14/1000*D14</f>
        <v>0.21000000000000002</v>
      </c>
    </row>
    <row r="15" spans="1:17" ht="17" x14ac:dyDescent="0.2">
      <c r="B15" s="1" t="s">
        <v>33</v>
      </c>
      <c r="D15" s="1">
        <f>40*C4</f>
        <v>32</v>
      </c>
      <c r="E15" s="1">
        <f t="shared" si="0"/>
        <v>224</v>
      </c>
      <c r="G15" s="31">
        <f>'Price list REWE '!E12</f>
        <v>1.58</v>
      </c>
      <c r="H15" s="31">
        <f>G15/1000*D15</f>
        <v>5.0560000000000001E-2</v>
      </c>
      <c r="J15" s="42">
        <f>'Price list REWE '!H12</f>
        <v>1.98</v>
      </c>
      <c r="K15" s="42">
        <f>J15/1000*D15</f>
        <v>6.336E-2</v>
      </c>
      <c r="M15" s="31">
        <f>'Price list ALDI Süd'!E12</f>
        <v>1.58</v>
      </c>
      <c r="N15" s="31">
        <f>M15/1000*D15</f>
        <v>5.0560000000000001E-2</v>
      </c>
      <c r="P15" s="42">
        <f>'Price list ALDI Süd'!H12</f>
        <v>1.9</v>
      </c>
      <c r="Q15" s="42">
        <f>P15/1000*D15</f>
        <v>6.08E-2</v>
      </c>
    </row>
    <row r="16" spans="1:17" ht="17" x14ac:dyDescent="0.2">
      <c r="B16" s="1" t="s">
        <v>36</v>
      </c>
      <c r="D16" s="1">
        <f>62*C4</f>
        <v>49.6</v>
      </c>
      <c r="E16" s="1">
        <f t="shared" si="0"/>
        <v>347.2</v>
      </c>
      <c r="G16" s="31">
        <f>'Price list REWE '!E13</f>
        <v>3.58</v>
      </c>
      <c r="H16" s="31">
        <f>G16/1000*D16</f>
        <v>0.17756800000000003</v>
      </c>
      <c r="J16" s="42">
        <f>'Price list REWE '!H13</f>
        <v>2.98</v>
      </c>
      <c r="K16" s="42">
        <f>J16/1000*D16</f>
        <v>0.14780799999999999</v>
      </c>
      <c r="M16" s="31">
        <f>'Price list ALDI Süd'!E13</f>
        <v>2.98</v>
      </c>
      <c r="N16" s="31">
        <f>M16/1000*D16</f>
        <v>0.14780799999999999</v>
      </c>
      <c r="P16" s="42">
        <f>'Price list ALDI Süd'!H13</f>
        <v>2.98</v>
      </c>
      <c r="Q16" s="42">
        <f>P16/1000*D16</f>
        <v>0.14780799999999999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40</v>
      </c>
      <c r="E18" s="4">
        <f>D18*$E$10</f>
        <v>280</v>
      </c>
      <c r="F18" s="4">
        <f>39*C4</f>
        <v>31.200000000000003</v>
      </c>
      <c r="G18" s="12"/>
    </row>
    <row r="19" spans="1:17" ht="17" x14ac:dyDescent="0.2">
      <c r="B19" s="1" t="s">
        <v>41</v>
      </c>
      <c r="D19" s="1">
        <f>50*C4</f>
        <v>40</v>
      </c>
      <c r="E19" s="1">
        <f>D19*E10</f>
        <v>280</v>
      </c>
      <c r="G19" s="31">
        <f>'Price list REWE '!E16</f>
        <v>0.92</v>
      </c>
      <c r="H19" s="31">
        <f>G19/1000*D19</f>
        <v>3.6799999999999999E-2</v>
      </c>
      <c r="J19" s="42">
        <f>'Price list REWE '!H16</f>
        <v>1.53</v>
      </c>
      <c r="K19" s="42">
        <f>J19/1000*D19</f>
        <v>6.1200000000000004E-2</v>
      </c>
      <c r="M19" s="31">
        <f>'Price list ALDI Süd'!E16</f>
        <v>0.96</v>
      </c>
      <c r="N19" s="31">
        <f>M19/1000*D19</f>
        <v>3.8399999999999997E-2</v>
      </c>
      <c r="P19" s="42">
        <f>'Price list ALDI Süd'!H16</f>
        <v>1.46</v>
      </c>
      <c r="Q19" s="42">
        <f>P19/1000*D19</f>
        <v>5.8399999999999994E-2</v>
      </c>
    </row>
    <row r="20" spans="1:17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240</v>
      </c>
      <c r="E21" s="4">
        <f>D21*$E$10</f>
        <v>1680</v>
      </c>
    </row>
    <row r="22" spans="1:17" x14ac:dyDescent="0.2">
      <c r="C22" s="6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80</v>
      </c>
      <c r="E23" s="4">
        <f>D23*7</f>
        <v>560</v>
      </c>
      <c r="F23" s="4">
        <f>23*C4</f>
        <v>18.400000000000002</v>
      </c>
      <c r="G23" s="12"/>
    </row>
    <row r="24" spans="1:17" ht="17" x14ac:dyDescent="0.2">
      <c r="B24" s="16" t="s">
        <v>392</v>
      </c>
      <c r="C24" s="340">
        <v>8.1854823894030371E-2</v>
      </c>
      <c r="D24" s="6">
        <f>C24*$D$23</f>
        <v>6.5483859115224297</v>
      </c>
      <c r="E24" s="1">
        <f>D24*7</f>
        <v>45.838701380657007</v>
      </c>
      <c r="G24" s="33">
        <f>'Price list REWE '!E21</f>
        <v>3.0944625407166124</v>
      </c>
      <c r="H24" s="31">
        <f t="shared" ref="H24:H31" si="1">G24/1000*D24</f>
        <v>2.0263734905362568E-2</v>
      </c>
      <c r="J24" s="42">
        <f>'Price list REWE '!H21</f>
        <v>3.0944625407166124</v>
      </c>
      <c r="K24" s="42">
        <f t="shared" ref="K24:K31" si="2">J24/1000*D24</f>
        <v>2.0263734905362568E-2</v>
      </c>
      <c r="M24" s="31">
        <f>'Price list ALDI Süd'!E21</f>
        <v>2.2475570032573291</v>
      </c>
      <c r="N24" s="31">
        <f t="shared" ref="N24:N31" si="3">M24/1000*D24</f>
        <v>1.4717870615473866E-2</v>
      </c>
      <c r="P24" s="42">
        <f>'Price list ALDI Süd'!H21</f>
        <v>2.2475570032573291</v>
      </c>
      <c r="Q24" s="42">
        <f t="shared" ref="Q24:Q31" si="4">P24/1000*D24</f>
        <v>1.4717870615473866E-2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5">C25*$D$23</f>
        <v>3.3465101297321938</v>
      </c>
      <c r="E25" s="1">
        <f t="shared" ref="E25:E31" si="6">D25*7</f>
        <v>23.425570908125355</v>
      </c>
      <c r="G25" s="33">
        <f>'Price list REWE '!E22</f>
        <v>2.875</v>
      </c>
      <c r="H25" s="31">
        <f t="shared" si="1"/>
        <v>9.6212166229800566E-3</v>
      </c>
      <c r="J25" s="42">
        <f>'Price list REWE '!H22</f>
        <v>5.98</v>
      </c>
      <c r="K25" s="42">
        <f t="shared" si="2"/>
        <v>2.0012130575798519E-2</v>
      </c>
      <c r="M25" s="31">
        <f>'Price list ALDI Süd'!E22</f>
        <v>2.875</v>
      </c>
      <c r="N25" s="31">
        <f t="shared" si="3"/>
        <v>9.6212166229800566E-3</v>
      </c>
      <c r="P25" s="42">
        <f>'Price list ALDI Süd'!H22</f>
        <v>11.96</v>
      </c>
      <c r="Q25" s="42">
        <f t="shared" si="4"/>
        <v>4.0024261151597039E-2</v>
      </c>
    </row>
    <row r="26" spans="1:17" ht="17" x14ac:dyDescent="0.2">
      <c r="B26" s="16" t="s">
        <v>51</v>
      </c>
      <c r="C26" s="340">
        <v>5.5140886754685689E-2</v>
      </c>
      <c r="D26" s="6">
        <f t="shared" si="5"/>
        <v>4.4112709403748553</v>
      </c>
      <c r="E26" s="1">
        <f t="shared" si="6"/>
        <v>30.878896582623987</v>
      </c>
      <c r="G26" s="33">
        <f>'Price list REWE '!E23</f>
        <v>1.76</v>
      </c>
      <c r="H26" s="31">
        <f t="shared" si="1"/>
        <v>7.7638368550597458E-3</v>
      </c>
      <c r="J26" s="42">
        <f>'Price list REWE '!H23</f>
        <v>3.32</v>
      </c>
      <c r="K26" s="42">
        <f t="shared" si="2"/>
        <v>1.464541952204452E-2</v>
      </c>
      <c r="M26" s="31">
        <f>'Price list ALDI Süd'!E23</f>
        <v>1.99</v>
      </c>
      <c r="N26" s="31">
        <f t="shared" si="3"/>
        <v>8.7784291713459625E-3</v>
      </c>
      <c r="P26" s="42">
        <f>'Price list ALDI Süd'!H23</f>
        <v>3.32</v>
      </c>
      <c r="Q26" s="42">
        <f t="shared" si="4"/>
        <v>1.464541952204452E-2</v>
      </c>
    </row>
    <row r="27" spans="1:17" ht="17" x14ac:dyDescent="0.2">
      <c r="B27" s="16" t="s">
        <v>394</v>
      </c>
      <c r="C27" s="340">
        <v>7.8411761271535096E-2</v>
      </c>
      <c r="D27" s="6">
        <f>C27*$D$23</f>
        <v>6.2729409017228077</v>
      </c>
      <c r="E27" s="1">
        <f t="shared" si="6"/>
        <v>43.910586312059657</v>
      </c>
      <c r="G27" s="33">
        <f>'Price list REWE '!E24</f>
        <v>1.8349928876244666</v>
      </c>
      <c r="H27" s="31">
        <f t="shared" si="1"/>
        <v>1.151080193914996E-2</v>
      </c>
      <c r="J27" s="42">
        <f>'Price list REWE '!H24</f>
        <v>3.8264580369843526</v>
      </c>
      <c r="K27" s="42">
        <f t="shared" si="2"/>
        <v>2.400314512892511E-2</v>
      </c>
      <c r="M27" s="31">
        <f>'Price list ALDI Süd'!E24</f>
        <v>1.4082503556187767</v>
      </c>
      <c r="N27" s="31">
        <f t="shared" si="3"/>
        <v>8.8338712556267126E-3</v>
      </c>
      <c r="P27" s="42">
        <f>'Price list ALDI Süd'!H24</f>
        <v>3.8264580369843526</v>
      </c>
      <c r="Q27" s="42">
        <f t="shared" si="4"/>
        <v>2.400314512892511E-2</v>
      </c>
    </row>
    <row r="28" spans="1:17" ht="17" x14ac:dyDescent="0.2">
      <c r="B28" s="16" t="s">
        <v>395</v>
      </c>
      <c r="C28" s="340">
        <v>0.10804527200358816</v>
      </c>
      <c r="D28" s="6">
        <f t="shared" si="5"/>
        <v>8.6436217602870524</v>
      </c>
      <c r="E28" s="1">
        <f t="shared" si="6"/>
        <v>60.505352322009365</v>
      </c>
      <c r="G28" s="33">
        <f>'Price list REWE '!E25</f>
        <v>6.2402088772845961</v>
      </c>
      <c r="H28" s="31">
        <f t="shared" si="1"/>
        <v>5.3938005240433573E-2</v>
      </c>
      <c r="J28" s="42">
        <f>'Price list REWE '!H25</f>
        <v>6.5013054830287214</v>
      </c>
      <c r="K28" s="42">
        <f t="shared" si="2"/>
        <v>5.619482554338058E-2</v>
      </c>
      <c r="M28" s="31">
        <f>'Price list ALDI Süd'!E25</f>
        <v>4.125</v>
      </c>
      <c r="N28" s="31">
        <f t="shared" si="3"/>
        <v>3.5654939761184092E-2</v>
      </c>
      <c r="P28" s="42">
        <f>'Price list ALDI Süd'!H25</f>
        <v>7.041666666666667</v>
      </c>
      <c r="Q28" s="42">
        <f t="shared" si="4"/>
        <v>6.0865503228687994E-2</v>
      </c>
    </row>
    <row r="29" spans="1:17" ht="17" x14ac:dyDescent="0.2">
      <c r="B29" s="16" t="s">
        <v>396</v>
      </c>
      <c r="C29" s="340">
        <v>0.24433687491347134</v>
      </c>
      <c r="D29" s="6">
        <f t="shared" si="5"/>
        <v>19.546949993077707</v>
      </c>
      <c r="E29" s="1">
        <f t="shared" si="6"/>
        <v>136.82864995154395</v>
      </c>
      <c r="G29" s="33">
        <f>'Price list REWE '!E26</f>
        <v>1.0745614035087721</v>
      </c>
      <c r="H29" s="31">
        <f t="shared" si="1"/>
        <v>2.1004398018877365E-2</v>
      </c>
      <c r="J29" s="42">
        <f>'Price list REWE '!H26</f>
        <v>3.2675438596491229</v>
      </c>
      <c r="K29" s="42">
        <f t="shared" si="2"/>
        <v>6.3870516424749529E-2</v>
      </c>
      <c r="M29" s="31">
        <f>'Price list ALDI Süd'!E26</f>
        <v>1.0745614035087721</v>
      </c>
      <c r="N29" s="31">
        <f t="shared" si="3"/>
        <v>2.1004398018877365E-2</v>
      </c>
      <c r="P29" s="42">
        <f>'Price list ALDI Süd'!H26</f>
        <v>1.2938596491228069</v>
      </c>
      <c r="Q29" s="42">
        <f t="shared" si="4"/>
        <v>2.5291009859464576E-2</v>
      </c>
    </row>
    <row r="30" spans="1:17" ht="17" x14ac:dyDescent="0.2">
      <c r="B30" s="16" t="s">
        <v>63</v>
      </c>
      <c r="C30" s="340">
        <v>0.19518950227051848</v>
      </c>
      <c r="D30" s="6">
        <f t="shared" si="5"/>
        <v>15.615160181641478</v>
      </c>
      <c r="E30" s="1">
        <f t="shared" si="6"/>
        <v>109.30612127149035</v>
      </c>
      <c r="G30" s="33">
        <f>'Price list REWE '!E27</f>
        <v>1.79</v>
      </c>
      <c r="H30" s="31">
        <f t="shared" si="1"/>
        <v>2.7951136725138249E-2</v>
      </c>
      <c r="J30" s="42">
        <f>'Price list REWE '!H27</f>
        <v>3.58</v>
      </c>
      <c r="K30" s="42">
        <f t="shared" si="2"/>
        <v>5.5902273450276499E-2</v>
      </c>
      <c r="M30" s="31">
        <f>'Price list ALDI Süd'!E27</f>
        <v>1.49</v>
      </c>
      <c r="N30" s="31">
        <f t="shared" si="3"/>
        <v>2.3266588670645804E-2</v>
      </c>
      <c r="P30" s="42">
        <f>'Price list ALDI Süd'!H27</f>
        <v>1.78</v>
      </c>
      <c r="Q30" s="42">
        <f t="shared" si="4"/>
        <v>2.7794985123321833E-2</v>
      </c>
    </row>
    <row r="31" spans="1:17" ht="17" x14ac:dyDescent="0.2">
      <c r="B31" s="16" t="s">
        <v>66</v>
      </c>
      <c r="C31" s="340">
        <v>0.19518950227051848</v>
      </c>
      <c r="D31" s="6">
        <f t="shared" si="5"/>
        <v>15.615160181641478</v>
      </c>
      <c r="E31" s="1">
        <f t="shared" si="6"/>
        <v>109.30612127149035</v>
      </c>
      <c r="G31" s="33">
        <f>'Price list REWE '!E28</f>
        <v>1.99</v>
      </c>
      <c r="H31" s="31">
        <f t="shared" si="1"/>
        <v>3.1074168761466542E-2</v>
      </c>
      <c r="J31" s="42">
        <f>'Price list REWE '!H28</f>
        <v>5.3</v>
      </c>
      <c r="K31" s="42">
        <f t="shared" si="2"/>
        <v>8.2760348962699834E-2</v>
      </c>
      <c r="M31" s="31">
        <f>'Price list ALDI Süd'!E28</f>
        <v>1.99</v>
      </c>
      <c r="N31" s="31">
        <f t="shared" si="3"/>
        <v>3.1074168761466542E-2</v>
      </c>
      <c r="P31" s="42">
        <f>'Price list ALDI Süd'!H28</f>
        <v>5.3</v>
      </c>
      <c r="Q31" s="42">
        <f t="shared" si="4"/>
        <v>8.2760348962699834E-2</v>
      </c>
    </row>
    <row r="32" spans="1:17" x14ac:dyDescent="0.2">
      <c r="A32" s="9">
        <v>8</v>
      </c>
      <c r="B32" s="16"/>
      <c r="C32" s="340"/>
      <c r="G32" s="33"/>
      <c r="H32" s="31"/>
      <c r="J32" s="42"/>
      <c r="K32" s="42"/>
      <c r="M32" s="31"/>
      <c r="N32" s="31"/>
      <c r="P32" s="42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80</v>
      </c>
      <c r="F33" s="4">
        <f>30*C4</f>
        <v>24</v>
      </c>
      <c r="G33" s="12"/>
    </row>
    <row r="34" spans="1:17" ht="17" x14ac:dyDescent="0.2">
      <c r="B34" s="23" t="s">
        <v>70</v>
      </c>
      <c r="C34" s="340">
        <v>0.21012979994107583</v>
      </c>
      <c r="D34" s="6">
        <f>C34*D33</f>
        <v>16.810383995286067</v>
      </c>
      <c r="E34" s="1">
        <f t="shared" ref="E34:E39" si="7">D34*7</f>
        <v>117.67268796700247</v>
      </c>
      <c r="G34" s="33">
        <f>'Price list REWE '!E31</f>
        <v>1.75</v>
      </c>
      <c r="H34" s="31">
        <f t="shared" ref="H34:H39" si="8">G34/1000*D34</f>
        <v>2.9418171991750619E-2</v>
      </c>
      <c r="J34" s="42">
        <f>'Price list REWE '!H31</f>
        <v>2.79</v>
      </c>
      <c r="K34" s="42">
        <f t="shared" ref="K34:K39" si="9">J34/1000*D34</f>
        <v>4.6900971346848126E-2</v>
      </c>
      <c r="M34" s="31">
        <f>'Price list ALDI Süd'!E31</f>
        <v>1.5</v>
      </c>
      <c r="N34" s="31">
        <f t="shared" ref="N34:N39" si="10">M34/1000*D34</f>
        <v>2.5215575992929101E-2</v>
      </c>
      <c r="P34" s="42">
        <f>'Price list ALDI Süd'!H31</f>
        <v>2.19</v>
      </c>
      <c r="Q34" s="42">
        <f t="shared" ref="Q34:Q39" si="11">P34/1000*D34</f>
        <v>3.6814740949676489E-2</v>
      </c>
    </row>
    <row r="35" spans="1:17" ht="17" x14ac:dyDescent="0.2">
      <c r="B35" s="16" t="s">
        <v>73</v>
      </c>
      <c r="C35" s="340">
        <v>0.19042830974833957</v>
      </c>
      <c r="D35" s="6">
        <f>C35*D33</f>
        <v>15.234264779867166</v>
      </c>
      <c r="E35" s="1">
        <f t="shared" si="7"/>
        <v>106.63985345907017</v>
      </c>
      <c r="G35" s="33">
        <f>'Price list REWE '!E32</f>
        <v>2.79</v>
      </c>
      <c r="H35" s="31">
        <f t="shared" si="8"/>
        <v>4.2503598735829394E-2</v>
      </c>
      <c r="J35" s="42">
        <f>'Price list REWE '!H32</f>
        <v>5.18</v>
      </c>
      <c r="K35" s="42">
        <f t="shared" si="9"/>
        <v>7.8913491559711918E-2</v>
      </c>
      <c r="M35" s="31">
        <f>'Price list ALDI Süd'!E32</f>
        <v>1.79</v>
      </c>
      <c r="N35" s="31">
        <f t="shared" si="10"/>
        <v>2.7269333955962229E-2</v>
      </c>
      <c r="P35" s="42">
        <f>'Price list ALDI Süd'!H32</f>
        <v>4.58</v>
      </c>
      <c r="Q35" s="42">
        <f t="shared" si="11"/>
        <v>6.977293269179162E-2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15.234264779867166</v>
      </c>
      <c r="E36" s="1">
        <f t="shared" si="7"/>
        <v>106.63985345907017</v>
      </c>
      <c r="G36" s="33">
        <f>'Price list REWE '!E33</f>
        <v>1.7</v>
      </c>
      <c r="H36" s="31">
        <f t="shared" si="8"/>
        <v>2.589825012577418E-2</v>
      </c>
      <c r="J36" s="42">
        <f>'Price list REWE '!H33</f>
        <v>2.27</v>
      </c>
      <c r="K36" s="42">
        <f t="shared" si="9"/>
        <v>3.4581781050298466E-2</v>
      </c>
      <c r="M36" s="31">
        <f>'Price list ALDI Süd'!E33</f>
        <v>1.7</v>
      </c>
      <c r="N36" s="31">
        <f t="shared" si="10"/>
        <v>2.589825012577418E-2</v>
      </c>
      <c r="P36" s="42">
        <f>'Price list ALDI Süd'!H33</f>
        <v>1.98</v>
      </c>
      <c r="Q36" s="42">
        <f t="shared" si="11"/>
        <v>3.0163844264136989E-2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15.234264779867166</v>
      </c>
      <c r="E37" s="1">
        <f t="shared" si="7"/>
        <v>106.63985345907017</v>
      </c>
      <c r="G37" s="33">
        <f>'Price list REWE '!E34</f>
        <v>2.125</v>
      </c>
      <c r="H37" s="31">
        <f t="shared" si="8"/>
        <v>3.2372812657217732E-2</v>
      </c>
      <c r="J37" s="42">
        <f>'Price list REWE '!H34</f>
        <v>2.4750000000000001</v>
      </c>
      <c r="K37" s="42">
        <f t="shared" si="9"/>
        <v>3.7704805330171239E-2</v>
      </c>
      <c r="M37" s="31">
        <f>'Price list ALDI Süd'!E34</f>
        <v>2</v>
      </c>
      <c r="N37" s="31">
        <f t="shared" si="10"/>
        <v>3.0468529559734333E-2</v>
      </c>
      <c r="P37" s="42">
        <f>'Price list ALDI Süd'!H34</f>
        <v>2.4750000000000001</v>
      </c>
      <c r="Q37" s="42">
        <f t="shared" si="11"/>
        <v>3.7704805330171239E-2</v>
      </c>
    </row>
    <row r="38" spans="1:17" ht="17" x14ac:dyDescent="0.2">
      <c r="B38" s="16" t="s">
        <v>82</v>
      </c>
      <c r="C38" s="340">
        <v>0.10929263540695267</v>
      </c>
      <c r="D38" s="6">
        <f t="shared" si="12"/>
        <v>8.7434108325562132</v>
      </c>
      <c r="E38" s="1">
        <f t="shared" si="7"/>
        <v>61.203875827893491</v>
      </c>
      <c r="G38" s="33">
        <f>'Price list REWE '!E35</f>
        <v>3.98</v>
      </c>
      <c r="H38" s="31">
        <f t="shared" si="8"/>
        <v>3.4798775113573731E-2</v>
      </c>
      <c r="J38" s="42">
        <f>'Price list REWE '!H35</f>
        <v>6.99</v>
      </c>
      <c r="K38" s="42">
        <f t="shared" si="9"/>
        <v>6.1116441719567934E-2</v>
      </c>
      <c r="M38" s="31">
        <f>'Price list ALDI Süd'!E35</f>
        <v>3.79</v>
      </c>
      <c r="N38" s="31">
        <f t="shared" si="10"/>
        <v>3.3137527055388048E-2</v>
      </c>
      <c r="P38" s="42">
        <f>'Price list ALDI Süd'!H35</f>
        <v>4.4800000000000004</v>
      </c>
      <c r="Q38" s="42">
        <f t="shared" si="11"/>
        <v>3.9170480529851837E-2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8.7434108325562132</v>
      </c>
      <c r="E39" s="1">
        <f t="shared" si="7"/>
        <v>61.203875827893491</v>
      </c>
      <c r="G39" s="76">
        <f>'Price list REWE '!E36</f>
        <v>2.9289940828402368</v>
      </c>
      <c r="H39" s="31">
        <f t="shared" si="8"/>
        <v>2.5609398592398375E-2</v>
      </c>
      <c r="J39" s="42">
        <f>'Price list REWE '!H36</f>
        <v>3.8165680473372783</v>
      </c>
      <c r="K39" s="42">
        <f t="shared" si="9"/>
        <v>3.3369822408276677E-2</v>
      </c>
      <c r="M39" s="31">
        <f>'Price list ALDI Süd'!E36</f>
        <v>2.3372781065088759</v>
      </c>
      <c r="N39" s="31">
        <f t="shared" si="10"/>
        <v>2.0435782715146181E-2</v>
      </c>
      <c r="P39" s="42">
        <f>'Price list ALDI Süd'!H36</f>
        <v>3.8165680473372783</v>
      </c>
      <c r="Q39" s="42">
        <f t="shared" si="11"/>
        <v>3.3369822408276677E-2</v>
      </c>
    </row>
    <row r="40" spans="1:17" x14ac:dyDescent="0.2">
      <c r="A40" s="9">
        <v>6</v>
      </c>
      <c r="C40" s="340"/>
      <c r="D40" s="6"/>
      <c r="G40" s="35"/>
      <c r="H40" s="31"/>
      <c r="J40" s="42"/>
      <c r="K40" s="42"/>
      <c r="M40" s="31"/>
      <c r="N40" s="31"/>
      <c r="P40" s="42"/>
      <c r="Q40" s="42"/>
    </row>
    <row r="41" spans="1:17" s="4" customFormat="1" ht="17" x14ac:dyDescent="0.2">
      <c r="A41" s="12"/>
      <c r="B41" s="186" t="s">
        <v>88</v>
      </c>
      <c r="C41" s="341"/>
      <c r="D41" s="29">
        <f>100*C4</f>
        <v>80</v>
      </c>
      <c r="F41" s="4">
        <f>25*C4</f>
        <v>20</v>
      </c>
      <c r="G41" s="12"/>
    </row>
    <row r="42" spans="1:17" ht="17" x14ac:dyDescent="0.2">
      <c r="B42" s="16" t="s">
        <v>89</v>
      </c>
      <c r="C42" s="340">
        <v>0.24393305975418372</v>
      </c>
      <c r="D42" s="1">
        <f>C42*$D$41</f>
        <v>19.514644780334699</v>
      </c>
      <c r="E42" s="1">
        <f>D42*7</f>
        <v>136.6025134623429</v>
      </c>
      <c r="G42" s="33">
        <f>'Price list REWE '!E39</f>
        <v>1.49</v>
      </c>
      <c r="H42" s="31">
        <f>G42/1000*D42</f>
        <v>2.9076820722698703E-2</v>
      </c>
      <c r="J42" s="42">
        <f>'Price list REWE '!H39</f>
        <v>1.49</v>
      </c>
      <c r="K42" s="42">
        <f>J42/1000*D42</f>
        <v>2.9076820722698703E-2</v>
      </c>
      <c r="M42" s="31">
        <f>'Price list ALDI Süd'!E39</f>
        <v>1.49</v>
      </c>
      <c r="N42" s="31">
        <f>M42/1000*D42</f>
        <v>2.9076820722698703E-2</v>
      </c>
      <c r="P42" s="42">
        <f>'Price list ALDI Süd'!H39</f>
        <v>1.49</v>
      </c>
      <c r="Q42" s="42">
        <f>P42/1000*D42</f>
        <v>2.9076820722698703E-2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8.504244994863237</v>
      </c>
      <c r="E43" s="1">
        <f>D43*7</f>
        <v>59.529714964042661</v>
      </c>
      <c r="G43" s="31">
        <f>'Price list REWE '!E40</f>
        <v>1.99</v>
      </c>
      <c r="H43" s="31">
        <f>G43/1000*D43</f>
        <v>1.6923447539777842E-2</v>
      </c>
      <c r="J43" s="42">
        <f>'Price list REWE '!H40</f>
        <v>7.3</v>
      </c>
      <c r="K43" s="42">
        <f>J43/1000*D43</f>
        <v>6.2080988462501631E-2</v>
      </c>
      <c r="M43" s="31">
        <f>'Price list ALDI Süd'!E40</f>
        <v>1.99</v>
      </c>
      <c r="N43" s="31">
        <f>M43/1000*D43</f>
        <v>1.6923447539777842E-2</v>
      </c>
      <c r="P43" s="42">
        <f>'Price list ALDI Süd'!H40</f>
        <v>3.32</v>
      </c>
      <c r="Q43" s="42">
        <f>P43/1000*D43</f>
        <v>2.8234093382945948E-2</v>
      </c>
    </row>
    <row r="44" spans="1:17" ht="17" x14ac:dyDescent="0.2">
      <c r="B44" s="16" t="s">
        <v>94</v>
      </c>
      <c r="C44" s="87">
        <v>0.46774770023805184</v>
      </c>
      <c r="D44" s="1">
        <f t="shared" si="13"/>
        <v>37.419816019044148</v>
      </c>
      <c r="E44" s="1">
        <f>D44*7</f>
        <v>261.93871213330902</v>
      </c>
      <c r="G44" s="33">
        <f>'Price list REWE '!E41</f>
        <v>1.79</v>
      </c>
      <c r="H44" s="31">
        <f>G44/1000*D44</f>
        <v>6.6981470674089036E-2</v>
      </c>
      <c r="J44" s="42">
        <f>'Price list REWE '!H41</f>
        <v>3.05</v>
      </c>
      <c r="K44" s="42">
        <f>J44/1000*D44</f>
        <v>0.11413043885808465</v>
      </c>
      <c r="M44" s="31">
        <f>'Price list ALDI Süd'!E41</f>
        <v>1.99</v>
      </c>
      <c r="N44" s="31">
        <f>M44/1000*D44</f>
        <v>7.4465433877897849E-2</v>
      </c>
      <c r="P44" s="42">
        <f>'Price list ALDI Süd'!H41</f>
        <v>1.99</v>
      </c>
      <c r="Q44" s="42">
        <f>P44/1000*D44</f>
        <v>7.4465433877897849E-2</v>
      </c>
    </row>
    <row r="45" spans="1:17" ht="17" x14ac:dyDescent="0.2">
      <c r="B45" s="16" t="s">
        <v>398</v>
      </c>
      <c r="C45" s="87">
        <v>0.10260798307610458</v>
      </c>
      <c r="D45" s="1">
        <f t="shared" si="13"/>
        <v>8.2086386460883674</v>
      </c>
      <c r="E45" s="1">
        <f>D45*7</f>
        <v>57.460470522618571</v>
      </c>
      <c r="G45" s="33">
        <f>'Price list REWE '!E42</f>
        <v>6.99</v>
      </c>
      <c r="H45" s="31">
        <f>G45/1000*D45</f>
        <v>5.7378384136157694E-2</v>
      </c>
      <c r="J45" s="42">
        <f>'Price list REWE '!H42</f>
        <v>9.9600000000000009</v>
      </c>
      <c r="K45" s="42">
        <f>J45/1000*D45</f>
        <v>8.1758040915040145E-2</v>
      </c>
      <c r="M45" s="31">
        <f>'Price list ALDI Süd'!E42</f>
        <v>4.9800000000000004</v>
      </c>
      <c r="N45" s="31">
        <f>M45/1000*D45</f>
        <v>4.0879020457520072E-2</v>
      </c>
      <c r="P45" s="42">
        <f>'Price list ALDI Süd'!H42</f>
        <v>7.16</v>
      </c>
      <c r="Q45" s="42">
        <f>P45/1000*D45</f>
        <v>5.8773852705992717E-2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6.3526555596695555</v>
      </c>
      <c r="E46" s="1">
        <f>D46*7</f>
        <v>44.468588917686887</v>
      </c>
      <c r="G46" s="33">
        <f>'Price list REWE '!E43</f>
        <v>10</v>
      </c>
      <c r="H46" s="31">
        <f>G46/1000*D46</f>
        <v>6.3526555596695553E-2</v>
      </c>
      <c r="J46" s="42">
        <f>'Price list REWE '!H43</f>
        <v>10</v>
      </c>
      <c r="K46" s="42">
        <f>J46/1000*D46</f>
        <v>6.3526555596695553E-2</v>
      </c>
      <c r="M46" s="31">
        <f>'Price list ALDI Süd'!E43</f>
        <v>9.9</v>
      </c>
      <c r="N46" s="31">
        <f>M46/1000*D46</f>
        <v>6.2891290040728604E-2</v>
      </c>
      <c r="P46" s="42">
        <f>'Price list ALDI Süd'!H43</f>
        <v>9.9</v>
      </c>
      <c r="Q46" s="42">
        <f>P46/1000*D46</f>
        <v>6.2891290040728604E-2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160</v>
      </c>
      <c r="E48" s="4">
        <f>D48*$E$10</f>
        <v>1120</v>
      </c>
      <c r="F48" s="4">
        <f>126*C4</f>
        <v>100.80000000000001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71.945640858432128</v>
      </c>
      <c r="E49" s="1">
        <f t="shared" ref="E49:E58" si="14">D49*$E$10</f>
        <v>503.61948600902491</v>
      </c>
      <c r="G49" s="58">
        <f>'Price list REWE '!E46</f>
        <v>1.19</v>
      </c>
      <c r="H49" s="31">
        <f t="shared" ref="H49:H58" si="15">G49/1000*D49</f>
        <v>8.5615312621534226E-2</v>
      </c>
      <c r="J49" s="42">
        <f>'Price list REWE '!H46</f>
        <v>2.99</v>
      </c>
      <c r="K49" s="42">
        <f t="shared" ref="K49:K58" si="16">J49/1000*D49</f>
        <v>0.21511746616671207</v>
      </c>
      <c r="M49" s="31">
        <f>'Price list ALDI Süd'!E46</f>
        <v>0.94499999999999995</v>
      </c>
      <c r="N49" s="31">
        <f t="shared" ref="N49:N58" si="17">M49/1000*D49</f>
        <v>6.7988630611218362E-2</v>
      </c>
      <c r="P49" s="42">
        <f>'Price list ALDI Süd'!H46</f>
        <v>1.92</v>
      </c>
      <c r="Q49" s="42">
        <f t="shared" ref="Q49:Q58" si="18">P49/1000*D49</f>
        <v>0.13813563044818966</v>
      </c>
    </row>
    <row r="50" spans="1:17" ht="17" x14ac:dyDescent="0.2">
      <c r="B50" s="26" t="s">
        <v>106</v>
      </c>
      <c r="C50" s="342">
        <v>4.5787970295011769E-2</v>
      </c>
      <c r="D50" s="1">
        <f t="shared" ref="D50:D58" si="19">C50*$D$48</f>
        <v>7.3260752472018833</v>
      </c>
      <c r="E50" s="1">
        <f t="shared" si="14"/>
        <v>51.282526730413181</v>
      </c>
      <c r="G50" s="58">
        <f>'Price list REWE '!E47</f>
        <v>1.79</v>
      </c>
      <c r="H50" s="31">
        <f t="shared" si="15"/>
        <v>1.3113674692491372E-2</v>
      </c>
      <c r="J50" s="42">
        <f>'Price list REWE '!H47</f>
        <v>3.65</v>
      </c>
      <c r="K50" s="42">
        <f t="shared" si="16"/>
        <v>2.6740174652286876E-2</v>
      </c>
      <c r="M50" s="31">
        <f>'Price list ALDI Süd'!E47</f>
        <v>1.79</v>
      </c>
      <c r="N50" s="31">
        <f t="shared" si="17"/>
        <v>1.3113674692491372E-2</v>
      </c>
      <c r="P50" s="42">
        <f>'Price list ALDI Süd'!H47</f>
        <v>3.65</v>
      </c>
      <c r="Q50" s="42">
        <f t="shared" si="18"/>
        <v>2.6740174652286876E-2</v>
      </c>
    </row>
    <row r="51" spans="1:17" ht="17" x14ac:dyDescent="0.2">
      <c r="B51" s="26" t="s">
        <v>109</v>
      </c>
      <c r="C51" s="342">
        <v>2.019481503339627E-2</v>
      </c>
      <c r="D51" s="1">
        <f t="shared" si="19"/>
        <v>3.2311704053434029</v>
      </c>
      <c r="E51" s="1">
        <f t="shared" si="14"/>
        <v>22.618192837403821</v>
      </c>
      <c r="G51" s="58">
        <f>'Price list REWE '!E48</f>
        <v>4.99</v>
      </c>
      <c r="H51" s="31">
        <f t="shared" si="15"/>
        <v>1.6123540322663582E-2</v>
      </c>
      <c r="J51" s="42">
        <f>'Price list REWE '!H48</f>
        <v>4.99</v>
      </c>
      <c r="K51" s="42">
        <f t="shared" si="16"/>
        <v>1.6123540322663582E-2</v>
      </c>
      <c r="M51" s="31">
        <f>'Price list ALDI Süd'!E48</f>
        <v>3.98</v>
      </c>
      <c r="N51" s="31">
        <f t="shared" si="17"/>
        <v>1.2860058213266743E-2</v>
      </c>
      <c r="P51" s="42">
        <f>'Price list ALDI Süd'!H48</f>
        <v>3.98</v>
      </c>
      <c r="Q51" s="42">
        <f t="shared" si="18"/>
        <v>1.2860058213266743E-2</v>
      </c>
    </row>
    <row r="52" spans="1:17" ht="17" x14ac:dyDescent="0.2">
      <c r="B52" s="26" t="s">
        <v>111</v>
      </c>
      <c r="C52" s="342">
        <v>2.0560497203855613E-2</v>
      </c>
      <c r="D52" s="1">
        <f t="shared" si="19"/>
        <v>3.289679552616898</v>
      </c>
      <c r="E52" s="1">
        <f t="shared" si="14"/>
        <v>23.027756868318285</v>
      </c>
      <c r="G52" s="58">
        <f>'Price list REWE '!E49</f>
        <v>7.98</v>
      </c>
      <c r="H52" s="31">
        <f t="shared" si="15"/>
        <v>2.6251642829882849E-2</v>
      </c>
      <c r="J52" s="42">
        <f>'Price list REWE '!H49</f>
        <v>10.63</v>
      </c>
      <c r="K52" s="42">
        <f t="shared" si="16"/>
        <v>3.4969293644317626E-2</v>
      </c>
      <c r="M52" s="31">
        <f>'Price list ALDI Süd'!E49</f>
        <v>7.98</v>
      </c>
      <c r="N52" s="31">
        <f t="shared" si="17"/>
        <v>2.6251642829882849E-2</v>
      </c>
      <c r="P52" s="42">
        <f>'Price list ALDI Süd'!H49</f>
        <v>9.9700000000000006</v>
      </c>
      <c r="Q52" s="42">
        <f t="shared" si="18"/>
        <v>3.2798105139590479E-2</v>
      </c>
    </row>
    <row r="53" spans="1:17" ht="17" x14ac:dyDescent="0.2">
      <c r="B53" s="26" t="s">
        <v>114</v>
      </c>
      <c r="C53" s="342">
        <v>1.772181875645604E-2</v>
      </c>
      <c r="D53" s="1">
        <f t="shared" si="19"/>
        <v>2.8354910010329664</v>
      </c>
      <c r="E53" s="1">
        <f t="shared" si="14"/>
        <v>19.848437007230764</v>
      </c>
      <c r="G53" s="58">
        <f>'Price list REWE '!E50</f>
        <v>5.98</v>
      </c>
      <c r="H53" s="31">
        <f t="shared" si="15"/>
        <v>1.6956236186177139E-2</v>
      </c>
      <c r="J53" s="42">
        <f>'Price list REWE '!H50</f>
        <v>10.63</v>
      </c>
      <c r="K53" s="42">
        <f t="shared" si="16"/>
        <v>3.0141269340980433E-2</v>
      </c>
      <c r="M53" s="31">
        <f>'Price list ALDI Süd'!E50</f>
        <v>5.98</v>
      </c>
      <c r="N53" s="31">
        <f t="shared" si="17"/>
        <v>1.6956236186177139E-2</v>
      </c>
      <c r="P53" s="42">
        <f>'Price list ALDI Süd'!H50</f>
        <v>9.9700000000000006</v>
      </c>
      <c r="Q53" s="42">
        <f t="shared" si="18"/>
        <v>2.8269845280298678E-2</v>
      </c>
    </row>
    <row r="54" spans="1:17" ht="17" x14ac:dyDescent="0.2">
      <c r="B54" s="26" t="s">
        <v>117</v>
      </c>
      <c r="C54" s="342">
        <v>7.018785236884495E-2</v>
      </c>
      <c r="D54" s="1">
        <f t="shared" si="19"/>
        <v>11.230056379015192</v>
      </c>
      <c r="E54" s="1">
        <f t="shared" si="14"/>
        <v>78.61039465310634</v>
      </c>
      <c r="G54" s="58">
        <f>'Price list REWE '!E51</f>
        <v>5.58</v>
      </c>
      <c r="H54" s="31">
        <f t="shared" si="15"/>
        <v>6.2663714594904774E-2</v>
      </c>
      <c r="J54" s="42">
        <f>'Price list REWE '!H51</f>
        <v>5.58</v>
      </c>
      <c r="K54" s="42">
        <f t="shared" si="16"/>
        <v>6.2663714594904774E-2</v>
      </c>
      <c r="M54" s="31">
        <f>'Price list ALDI Süd'!E51</f>
        <v>3.99</v>
      </c>
      <c r="N54" s="31">
        <f t="shared" si="17"/>
        <v>4.4807924952270622E-2</v>
      </c>
      <c r="P54" s="42">
        <f>'Price list ALDI Süd'!H51</f>
        <v>9.9700000000000006</v>
      </c>
      <c r="Q54" s="42">
        <f t="shared" si="18"/>
        <v>0.11196366209878147</v>
      </c>
    </row>
    <row r="55" spans="1:17" ht="17" x14ac:dyDescent="0.2">
      <c r="B55" s="26" t="s">
        <v>119</v>
      </c>
      <c r="C55" s="342">
        <v>9.5944736748873077E-2</v>
      </c>
      <c r="D55" s="1">
        <f t="shared" si="19"/>
        <v>15.351157879819691</v>
      </c>
      <c r="E55" s="1">
        <f t="shared" si="14"/>
        <v>107.45810515873784</v>
      </c>
      <c r="G55" s="58">
        <f>'Price list REWE '!E52</f>
        <v>3.58</v>
      </c>
      <c r="H55" s="31">
        <f t="shared" si="15"/>
        <v>5.4957145209754497E-2</v>
      </c>
      <c r="J55" s="42">
        <f>'Price list REWE '!H52</f>
        <v>3.58</v>
      </c>
      <c r="K55" s="42">
        <f t="shared" si="16"/>
        <v>5.4957145209754497E-2</v>
      </c>
      <c r="M55" s="31">
        <f>'Price list ALDI Süd'!E52</f>
        <v>3.38</v>
      </c>
      <c r="N55" s="31">
        <f t="shared" si="17"/>
        <v>5.1886913633790555E-2</v>
      </c>
      <c r="P55" s="42">
        <f>'Price list ALDI Süd'!H52</f>
        <v>3.38</v>
      </c>
      <c r="Q55" s="42">
        <f t="shared" si="18"/>
        <v>5.1886913633790555E-2</v>
      </c>
    </row>
    <row r="56" spans="1:17" ht="17" x14ac:dyDescent="0.2">
      <c r="B56" s="26" t="s">
        <v>121</v>
      </c>
      <c r="C56" s="342">
        <v>0.21388130862220195</v>
      </c>
      <c r="D56" s="1">
        <f t="shared" si="19"/>
        <v>34.221009379552314</v>
      </c>
      <c r="E56" s="1">
        <f t="shared" si="14"/>
        <v>239.54706565686621</v>
      </c>
      <c r="G56" s="58">
        <f>'Price list REWE '!E53</f>
        <v>1.29</v>
      </c>
      <c r="H56" s="31">
        <f t="shared" si="15"/>
        <v>4.4145102099622489E-2</v>
      </c>
      <c r="J56" s="42">
        <f>'Price list REWE '!H53</f>
        <v>1.99</v>
      </c>
      <c r="K56" s="42">
        <f t="shared" si="16"/>
        <v>6.8099808665309111E-2</v>
      </c>
      <c r="M56" s="31">
        <f>'Price list ALDI Süd'!E53</f>
        <v>1.29</v>
      </c>
      <c r="N56" s="31">
        <f t="shared" si="17"/>
        <v>4.4145102099622489E-2</v>
      </c>
      <c r="P56" s="42">
        <f>'Price list ALDI Süd'!H53</f>
        <v>1.99</v>
      </c>
      <c r="Q56" s="42">
        <f t="shared" si="18"/>
        <v>6.8099808665309111E-2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1.8729406057384965</v>
      </c>
      <c r="E57" s="1">
        <f t="shared" si="14"/>
        <v>13.110584240169477</v>
      </c>
      <c r="G57" s="31">
        <f>'Price list REWE '!E54</f>
        <v>5.98</v>
      </c>
      <c r="H57" s="31">
        <f t="shared" si="15"/>
        <v>1.120018482231621E-2</v>
      </c>
      <c r="J57" s="42">
        <f>'Price list REWE '!H54</f>
        <v>5.98</v>
      </c>
      <c r="K57" s="42">
        <f t="shared" si="16"/>
        <v>1.120018482231621E-2</v>
      </c>
      <c r="M57" s="31">
        <f>'Price list ALDI Süd'!E54</f>
        <v>3.98</v>
      </c>
      <c r="N57" s="31">
        <f t="shared" si="17"/>
        <v>7.4543036108392158E-3</v>
      </c>
      <c r="P57" s="42">
        <f>'Price list ALDI Süd'!H54</f>
        <v>3.98</v>
      </c>
      <c r="Q57" s="42">
        <f t="shared" si="18"/>
        <v>7.4543036108392158E-3</v>
      </c>
    </row>
    <row r="58" spans="1:17" ht="17" x14ac:dyDescent="0.2">
      <c r="B58" s="26" t="s">
        <v>126</v>
      </c>
      <c r="C58" s="87">
        <v>5.4354866820293855E-2</v>
      </c>
      <c r="D58" s="1">
        <f t="shared" si="19"/>
        <v>8.6967786912470171</v>
      </c>
      <c r="E58" s="1">
        <f t="shared" si="14"/>
        <v>60.877450838729118</v>
      </c>
      <c r="G58" s="31">
        <f>'Price list REWE '!E55</f>
        <v>4.9800000000000004</v>
      </c>
      <c r="H58" s="31">
        <f t="shared" si="15"/>
        <v>4.3309957882410148E-2</v>
      </c>
      <c r="J58" s="42">
        <f>'Price list REWE '!H55</f>
        <v>4.9800000000000004</v>
      </c>
      <c r="K58" s="42">
        <f t="shared" si="16"/>
        <v>4.3309957882410148E-2</v>
      </c>
      <c r="M58" s="31">
        <f>'Price list ALDI Süd'!E55</f>
        <v>3.98</v>
      </c>
      <c r="N58" s="31">
        <f t="shared" si="17"/>
        <v>3.4613179191163128E-2</v>
      </c>
      <c r="P58" s="42">
        <f>'Price list ALDI Süd'!H55</f>
        <v>3.98</v>
      </c>
      <c r="Q58" s="42">
        <f t="shared" si="18"/>
        <v>3.4613179191163128E-2</v>
      </c>
    </row>
    <row r="59" spans="1:17" x14ac:dyDescent="0.2">
      <c r="A59" s="9">
        <v>10</v>
      </c>
      <c r="B59" s="26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200</v>
      </c>
      <c r="E60" s="4">
        <f>D60*$E$10</f>
        <v>1400</v>
      </c>
      <c r="F60" s="4">
        <f>153*C4</f>
        <v>122.4</v>
      </c>
    </row>
    <row r="61" spans="1:17" ht="17" x14ac:dyDescent="0.2">
      <c r="B61" s="1" t="s">
        <v>129</v>
      </c>
      <c r="D61" s="1">
        <f>100*C4</f>
        <v>80</v>
      </c>
      <c r="E61" s="1">
        <f t="shared" ref="E61:E69" si="20">D61*$E$10</f>
        <v>560</v>
      </c>
      <c r="G61" s="31">
        <f>'Price list REWE '!E58</f>
        <v>1.05</v>
      </c>
      <c r="H61" s="31">
        <f t="shared" ref="H61:H69" si="21">G61/1000*D61</f>
        <v>8.4000000000000019E-2</v>
      </c>
      <c r="J61" s="42">
        <f>'Price list REWE '!H58</f>
        <v>1.25</v>
      </c>
      <c r="K61" s="42">
        <f t="shared" ref="K61:K69" si="22">J61/1000*D61</f>
        <v>0.1</v>
      </c>
      <c r="M61" s="31">
        <f>'Price list ALDI Süd'!E58</f>
        <v>1.05</v>
      </c>
      <c r="N61" s="31">
        <f t="shared" ref="N61:N69" si="23">M61/1000*D61</f>
        <v>8.4000000000000019E-2</v>
      </c>
      <c r="P61" s="42">
        <f>'Price list ALDI Süd'!H58</f>
        <v>1.25</v>
      </c>
      <c r="Q61" s="42">
        <f t="shared" ref="Q61:Q69" si="24">P61/1000*D61</f>
        <v>0.1</v>
      </c>
    </row>
    <row r="62" spans="1:17" ht="17" x14ac:dyDescent="0.2">
      <c r="B62" s="1" t="s">
        <v>132</v>
      </c>
      <c r="D62" s="1">
        <f>80*C4</f>
        <v>64</v>
      </c>
      <c r="E62" s="1">
        <f t="shared" si="20"/>
        <v>448</v>
      </c>
      <c r="G62" s="31">
        <f>'Price list REWE '!E59</f>
        <v>1.7</v>
      </c>
      <c r="H62" s="31">
        <f t="shared" si="21"/>
        <v>0.10879999999999999</v>
      </c>
      <c r="J62" s="42">
        <f>'Price list REWE '!H59</f>
        <v>2.38</v>
      </c>
      <c r="K62" s="42">
        <f t="shared" si="22"/>
        <v>0.15231999999999998</v>
      </c>
      <c r="M62" s="31">
        <f>'Price list ALDI Süd'!E59</f>
        <v>1.7</v>
      </c>
      <c r="N62" s="31">
        <f t="shared" si="23"/>
        <v>0.10879999999999999</v>
      </c>
      <c r="P62" s="42">
        <f>'Price list ALDI Süd'!H59</f>
        <v>2.38</v>
      </c>
      <c r="Q62" s="42">
        <f t="shared" si="24"/>
        <v>0.15231999999999998</v>
      </c>
    </row>
    <row r="63" spans="1:17" ht="17" x14ac:dyDescent="0.2">
      <c r="B63" s="1" t="s">
        <v>135</v>
      </c>
      <c r="D63" s="1">
        <f>10*C4</f>
        <v>8</v>
      </c>
      <c r="E63" s="1">
        <f t="shared" si="20"/>
        <v>56</v>
      </c>
      <c r="G63" s="31">
        <f>'Price list REWE '!E60</f>
        <v>4.63</v>
      </c>
      <c r="H63" s="31">
        <f t="shared" si="21"/>
        <v>3.7039999999999997E-2</v>
      </c>
      <c r="J63" s="42">
        <f>'Price list REWE '!H60</f>
        <v>7.37</v>
      </c>
      <c r="K63" s="42">
        <f t="shared" si="22"/>
        <v>5.8959999999999999E-2</v>
      </c>
      <c r="M63" s="31">
        <f>'Price list ALDI Süd'!E60</f>
        <v>4.63</v>
      </c>
      <c r="N63" s="31">
        <f t="shared" si="23"/>
        <v>3.7039999999999997E-2</v>
      </c>
      <c r="P63" s="42">
        <f>'Price list ALDI Süd'!H60</f>
        <v>7.37</v>
      </c>
      <c r="Q63" s="42">
        <f t="shared" si="24"/>
        <v>5.8959999999999999E-2</v>
      </c>
    </row>
    <row r="64" spans="1:17" ht="17" x14ac:dyDescent="0.2">
      <c r="B64" s="1" t="s">
        <v>138</v>
      </c>
      <c r="D64" s="1">
        <f>10*C4</f>
        <v>8</v>
      </c>
      <c r="E64" s="1">
        <f t="shared" si="20"/>
        <v>56</v>
      </c>
      <c r="G64" s="31">
        <f>'Price list REWE '!E61</f>
        <v>2.98</v>
      </c>
      <c r="H64" s="31">
        <f t="shared" si="21"/>
        <v>2.384E-2</v>
      </c>
      <c r="J64" s="42">
        <f>'Price list REWE '!H61</f>
        <v>4.2</v>
      </c>
      <c r="K64" s="42">
        <f t="shared" si="22"/>
        <v>3.3600000000000005E-2</v>
      </c>
      <c r="M64" s="31">
        <f>'Price list ALDI Süd'!E61</f>
        <v>2.8</v>
      </c>
      <c r="N64" s="31">
        <f t="shared" si="23"/>
        <v>2.24E-2</v>
      </c>
      <c r="P64" s="42">
        <f>'Price list ALDI Süd'!H61</f>
        <v>4.2</v>
      </c>
      <c r="Q64" s="42">
        <f t="shared" si="24"/>
        <v>3.3600000000000005E-2</v>
      </c>
    </row>
    <row r="65" spans="1:17" ht="18" customHeight="1" x14ac:dyDescent="0.2">
      <c r="B65" s="1" t="s">
        <v>141</v>
      </c>
      <c r="D65" s="1">
        <f>10*C4</f>
        <v>8</v>
      </c>
      <c r="E65" s="1">
        <f t="shared" si="20"/>
        <v>56</v>
      </c>
      <c r="G65" s="31">
        <f>'Price list REWE '!E62</f>
        <v>7.92</v>
      </c>
      <c r="H65" s="31">
        <f t="shared" si="21"/>
        <v>6.336E-2</v>
      </c>
      <c r="J65" s="42">
        <f>'Price list REWE '!H62</f>
        <v>10.32</v>
      </c>
      <c r="K65" s="42">
        <f t="shared" si="22"/>
        <v>8.2560000000000008E-2</v>
      </c>
      <c r="M65" s="31">
        <f>'Price list ALDI Süd'!E62</f>
        <v>7.92</v>
      </c>
      <c r="N65" s="31">
        <f t="shared" si="23"/>
        <v>6.336E-2</v>
      </c>
      <c r="P65" s="42">
        <f>'Price list ALDI Süd'!H62</f>
        <v>10.32</v>
      </c>
      <c r="Q65" s="42">
        <f t="shared" si="24"/>
        <v>8.2560000000000008E-2</v>
      </c>
    </row>
    <row r="66" spans="1:17" ht="17" x14ac:dyDescent="0.2">
      <c r="B66" s="1" t="s">
        <v>144</v>
      </c>
      <c r="D66" s="1">
        <f>10*C4</f>
        <v>8</v>
      </c>
      <c r="E66" s="1">
        <f t="shared" si="20"/>
        <v>56</v>
      </c>
      <c r="G66" s="31">
        <f>'Price list REWE '!E63</f>
        <v>3.45</v>
      </c>
      <c r="H66" s="31">
        <f t="shared" si="21"/>
        <v>2.7600000000000003E-2</v>
      </c>
      <c r="J66" s="42">
        <f>'Price list REWE '!H63</f>
        <v>4.45</v>
      </c>
      <c r="K66" s="42">
        <f t="shared" si="22"/>
        <v>3.56E-2</v>
      </c>
      <c r="M66" s="31">
        <f>'Price list ALDI Süd'!E63</f>
        <v>3.45</v>
      </c>
      <c r="N66" s="31">
        <f t="shared" si="23"/>
        <v>2.7600000000000003E-2</v>
      </c>
      <c r="P66" s="42">
        <f>'Price list ALDI Süd'!H63</f>
        <v>4.25</v>
      </c>
      <c r="Q66" s="42">
        <f t="shared" si="24"/>
        <v>3.4000000000000002E-2</v>
      </c>
    </row>
    <row r="67" spans="1:17" ht="34" x14ac:dyDescent="0.2">
      <c r="B67" s="1" t="s">
        <v>401</v>
      </c>
      <c r="D67" s="1">
        <f>10*C4</f>
        <v>8</v>
      </c>
      <c r="E67" s="1">
        <f t="shared" si="20"/>
        <v>56</v>
      </c>
      <c r="G67" s="31">
        <f>'Price list REWE '!E64</f>
        <v>7.48</v>
      </c>
      <c r="H67" s="31">
        <f t="shared" si="21"/>
        <v>5.9840000000000004E-2</v>
      </c>
      <c r="J67" s="42">
        <f>'Price list REWE '!H64</f>
        <v>12.6</v>
      </c>
      <c r="K67" s="42">
        <f t="shared" si="22"/>
        <v>0.1008</v>
      </c>
      <c r="M67" s="31">
        <f>'Price list ALDI Süd'!E64</f>
        <v>9.9600000000000009</v>
      </c>
      <c r="N67" s="31">
        <f t="shared" si="23"/>
        <v>7.9680000000000001E-2</v>
      </c>
      <c r="P67" s="42">
        <f>'Price list ALDI Süd'!H64</f>
        <v>10.95</v>
      </c>
      <c r="Q67" s="42">
        <f t="shared" si="24"/>
        <v>8.7599999999999997E-2</v>
      </c>
    </row>
    <row r="68" spans="1:17" ht="34" x14ac:dyDescent="0.2">
      <c r="B68" s="1" t="s">
        <v>402</v>
      </c>
      <c r="D68" s="1">
        <f>10*C4</f>
        <v>8</v>
      </c>
      <c r="E68" s="1">
        <f t="shared" si="20"/>
        <v>56</v>
      </c>
      <c r="G68" s="31">
        <f>'Price list REWE '!E65</f>
        <v>11.56</v>
      </c>
      <c r="H68" s="31">
        <f t="shared" si="21"/>
        <v>9.2480000000000007E-2</v>
      </c>
      <c r="J68" s="42">
        <f>'Price list REWE '!H65</f>
        <v>14.6</v>
      </c>
      <c r="K68" s="42">
        <f t="shared" si="22"/>
        <v>0.1168</v>
      </c>
      <c r="M68" s="31">
        <f>'Price list ALDI Süd'!E65</f>
        <v>11.56</v>
      </c>
      <c r="N68" s="31">
        <f t="shared" si="23"/>
        <v>9.2480000000000007E-2</v>
      </c>
      <c r="P68" s="42">
        <f>'Price list ALDI Süd'!H65</f>
        <v>14.6</v>
      </c>
      <c r="Q68" s="42">
        <f t="shared" si="24"/>
        <v>0.1168</v>
      </c>
    </row>
    <row r="69" spans="1:17" ht="17" x14ac:dyDescent="0.2">
      <c r="B69" s="1" t="s">
        <v>403</v>
      </c>
      <c r="D69" s="1">
        <f>10*C4</f>
        <v>8</v>
      </c>
      <c r="E69" s="1">
        <f t="shared" si="20"/>
        <v>56</v>
      </c>
      <c r="G69" s="31">
        <f>'Price list REWE '!E66</f>
        <v>9.9499999999999993</v>
      </c>
      <c r="H69" s="31">
        <f t="shared" si="21"/>
        <v>7.959999999999999E-2</v>
      </c>
      <c r="J69" s="42">
        <f>'Price list REWE '!H66</f>
        <v>13.27</v>
      </c>
      <c r="K69" s="42">
        <f t="shared" si="22"/>
        <v>0.10615999999999999</v>
      </c>
      <c r="M69" s="31">
        <f>'Price list ALDI Süd'!E66</f>
        <v>9.9499999999999993</v>
      </c>
      <c r="N69" s="31">
        <f t="shared" si="23"/>
        <v>7.959999999999999E-2</v>
      </c>
      <c r="P69" s="42">
        <f>'Price list ALDI Süd'!H66</f>
        <v>13.28</v>
      </c>
      <c r="Q69" s="42">
        <f t="shared" si="24"/>
        <v>0.10624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3.5*C4</f>
        <v>2.8000000000000003</v>
      </c>
      <c r="E71" s="4">
        <v>24.5</v>
      </c>
      <c r="F71" s="4">
        <f>15*C4</f>
        <v>12</v>
      </c>
    </row>
    <row r="72" spans="1:17" ht="17" x14ac:dyDescent="0.2">
      <c r="B72" s="1" t="s">
        <v>158</v>
      </c>
      <c r="D72" s="1">
        <f>3.5*C4</f>
        <v>2.8000000000000003</v>
      </c>
      <c r="E72" s="1">
        <v>24.5</v>
      </c>
      <c r="G72" s="31">
        <f>'Price list REWE '!E69</f>
        <v>13.96</v>
      </c>
      <c r="H72" s="31">
        <f>G72/1000*D72</f>
        <v>3.9088000000000005E-2</v>
      </c>
      <c r="J72" s="42">
        <f>'Price list REWE '!H69</f>
        <v>15.9</v>
      </c>
      <c r="K72" s="42">
        <f>J72/1000*D72</f>
        <v>4.4520000000000004E-2</v>
      </c>
      <c r="M72" s="31">
        <f>'Price list ALDI Süd'!E69</f>
        <v>9.7799999999999994</v>
      </c>
      <c r="N72" s="31">
        <f>M72/1000*D72</f>
        <v>2.7383999999999999E-2</v>
      </c>
      <c r="P72" s="42">
        <f>'Price list ALDI Süd'!H69</f>
        <v>11.98</v>
      </c>
      <c r="Q72" s="42">
        <f>P72/1000*D72</f>
        <v>3.3544000000000004E-2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3.5*C4</f>
        <v>2.8000000000000003</v>
      </c>
      <c r="E74" s="4">
        <v>24.5</v>
      </c>
      <c r="F74" s="4">
        <f>15*C4</f>
        <v>12</v>
      </c>
    </row>
    <row r="75" spans="1:17" ht="17" x14ac:dyDescent="0.2">
      <c r="B75" s="1" t="s">
        <v>162</v>
      </c>
      <c r="D75" s="1">
        <f>3.5*C4</f>
        <v>2.8000000000000003</v>
      </c>
      <c r="E75" s="1">
        <v>24.5</v>
      </c>
      <c r="G75" s="31">
        <f>'Price list REWE '!E72</f>
        <v>8.98</v>
      </c>
      <c r="H75" s="31">
        <f>G75/1000*D75</f>
        <v>2.5144000000000003E-2</v>
      </c>
      <c r="J75" s="42">
        <f>'Price list REWE '!H72</f>
        <v>29.9</v>
      </c>
      <c r="K75" s="42">
        <f>J75/1000*D75</f>
        <v>8.3720000000000003E-2</v>
      </c>
      <c r="M75" s="31">
        <f>'Price list ALDI Süd'!E72</f>
        <v>8.98</v>
      </c>
      <c r="N75" s="31">
        <f>M75/1000*D75</f>
        <v>2.5144000000000003E-2</v>
      </c>
      <c r="P75" s="42">
        <f>'Price list ALDI Süd'!H72</f>
        <v>17.96</v>
      </c>
      <c r="Q75" s="42">
        <f>P75/1000*D75</f>
        <v>5.0288000000000006E-2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14.5*C4</f>
        <v>11.600000000000001</v>
      </c>
      <c r="E77" s="4">
        <v>101.5</v>
      </c>
      <c r="F77" s="4">
        <f>62*C4</f>
        <v>49.6</v>
      </c>
    </row>
    <row r="78" spans="1:17" ht="17" x14ac:dyDescent="0.2">
      <c r="B78" s="1" t="s">
        <v>166</v>
      </c>
      <c r="D78" s="1">
        <f>14.5*C4</f>
        <v>11.600000000000001</v>
      </c>
      <c r="E78" s="1">
        <v>101.5</v>
      </c>
      <c r="G78" s="31">
        <f>'Price list REWE '!E75</f>
        <v>9.98</v>
      </c>
      <c r="H78" s="31">
        <f>G78/1000*D78</f>
        <v>0.11576800000000002</v>
      </c>
      <c r="J78" s="42">
        <f>'Price list REWE '!H75</f>
        <v>34.9</v>
      </c>
      <c r="K78" s="42">
        <f>J78/1000*D78</f>
        <v>0.40484000000000003</v>
      </c>
      <c r="M78" s="31">
        <f>'Price list ALDI Süd'!E75</f>
        <v>9.98</v>
      </c>
      <c r="N78" s="31">
        <f>M78/1000*D78</f>
        <v>0.11576800000000002</v>
      </c>
      <c r="P78" s="42">
        <f>'Price list ALDI Süd'!H75</f>
        <v>24.99</v>
      </c>
      <c r="Q78" s="42">
        <f>P78/1000*D78</f>
        <v>0.28988400000000003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10.4</v>
      </c>
      <c r="E80" s="4">
        <v>91</v>
      </c>
      <c r="F80" s="4">
        <f>19*C4</f>
        <v>15.200000000000001</v>
      </c>
    </row>
    <row r="81" spans="1:17" ht="17" x14ac:dyDescent="0.2">
      <c r="A81" s="1"/>
      <c r="B81" s="1" t="s">
        <v>170</v>
      </c>
      <c r="D81" s="1">
        <f>13*C4</f>
        <v>10.4</v>
      </c>
      <c r="E81" s="1">
        <v>91</v>
      </c>
      <c r="G81" s="31">
        <f>'Price list REWE '!E78</f>
        <v>3.98</v>
      </c>
      <c r="H81" s="31">
        <f>G81/1000*D81</f>
        <v>4.1392000000000005E-2</v>
      </c>
      <c r="J81" s="42">
        <f>'Price list REWE '!H78</f>
        <v>7.9666666666666677</v>
      </c>
      <c r="K81" s="42">
        <f>J81/1000*D81</f>
        <v>8.2853333333333334E-2</v>
      </c>
      <c r="M81" s="31">
        <f>'Price list ALDI Süd'!E78</f>
        <v>3.98</v>
      </c>
      <c r="N81" s="31">
        <f>M81/1000*D81</f>
        <v>4.1392000000000005E-2</v>
      </c>
      <c r="P81" s="42">
        <f>'Price list ALDI Süd'!H78</f>
        <v>6.38</v>
      </c>
      <c r="Q81" s="42">
        <f>P81/1000*D81</f>
        <v>6.6352000000000008E-2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14*C4</f>
        <v>11.200000000000001</v>
      </c>
      <c r="E83" s="4">
        <v>98</v>
      </c>
      <c r="F83" s="4">
        <f>40*C4</f>
        <v>32</v>
      </c>
    </row>
    <row r="84" spans="1:17" ht="17" x14ac:dyDescent="0.2">
      <c r="B84" s="1" t="s">
        <v>174</v>
      </c>
      <c r="D84" s="1">
        <f>D83/3</f>
        <v>3.7333333333333338</v>
      </c>
      <c r="E84" s="1">
        <v>32.666666666666671</v>
      </c>
      <c r="G84" s="31">
        <f>'Price list REWE '!E81</f>
        <v>23.96</v>
      </c>
      <c r="H84" s="31">
        <f>G84/1000*D84</f>
        <v>8.9450666666666692E-2</v>
      </c>
      <c r="J84" s="42">
        <f>'Price list REWE '!H81</f>
        <v>31.96</v>
      </c>
      <c r="K84" s="42">
        <f>J84/1000*D84</f>
        <v>0.11931733333333336</v>
      </c>
      <c r="M84" s="31">
        <f>'Price list ALDI Süd'!E81</f>
        <v>23.96</v>
      </c>
      <c r="N84" s="31">
        <f>M84/1000*D84</f>
        <v>8.9450666666666692E-2</v>
      </c>
      <c r="P84" s="42">
        <f>'Price list ALDI Süd'!H81</f>
        <v>31.96</v>
      </c>
      <c r="Q84" s="42">
        <f>P84/1000*D84</f>
        <v>0.11931733333333336</v>
      </c>
    </row>
    <row r="85" spans="1:17" ht="17" x14ac:dyDescent="0.2">
      <c r="B85" s="1" t="s">
        <v>177</v>
      </c>
      <c r="D85" s="1">
        <f>D83/3</f>
        <v>3.7333333333333338</v>
      </c>
      <c r="E85" s="1">
        <v>32.666666666666671</v>
      </c>
      <c r="G85" s="31">
        <f>'Price list REWE '!E82</f>
        <v>7.49</v>
      </c>
      <c r="H85" s="31">
        <f>G85/1000*D85</f>
        <v>2.796266666666667E-2</v>
      </c>
      <c r="J85" s="42">
        <f>'Price list REWE '!H82</f>
        <v>7.49</v>
      </c>
      <c r="K85" s="42">
        <f>J85/1000*D85</f>
        <v>2.796266666666667E-2</v>
      </c>
      <c r="M85" s="31">
        <f>'Price list ALDI Süd'!E82</f>
        <v>7.49</v>
      </c>
      <c r="N85" s="31">
        <f>M85/1000*D85</f>
        <v>2.796266666666667E-2</v>
      </c>
      <c r="P85" s="42">
        <f>'Price list ALDI Süd'!H82</f>
        <v>7.49</v>
      </c>
      <c r="Q85" s="42">
        <f>P85/1000*D85</f>
        <v>2.796266666666667E-2</v>
      </c>
    </row>
    <row r="86" spans="1:17" ht="17" x14ac:dyDescent="0.2">
      <c r="B86" s="1" t="s">
        <v>179</v>
      </c>
      <c r="D86" s="1">
        <f>D83/3</f>
        <v>3.7333333333333338</v>
      </c>
      <c r="E86" s="1">
        <v>32.666666666666671</v>
      </c>
      <c r="G86" s="31">
        <f>'Price list REWE '!E83</f>
        <v>7.6410256410256414</v>
      </c>
      <c r="H86" s="31">
        <f>G86/1000*D86</f>
        <v>2.8526495726495731E-2</v>
      </c>
      <c r="J86" s="42">
        <f>'Price list REWE '!H83</f>
        <v>20.5625</v>
      </c>
      <c r="K86" s="42">
        <f>J86/1000*D86</f>
        <v>7.6766666666666677E-2</v>
      </c>
      <c r="M86" s="31">
        <f>'Price list ALDI Süd'!E83</f>
        <v>7.6410256410256414</v>
      </c>
      <c r="N86" s="31">
        <f>M86/1000*D86</f>
        <v>2.8526495726495731E-2</v>
      </c>
      <c r="P86" s="42">
        <f>'Price list ALDI Süd'!H83</f>
        <v>20.5625</v>
      </c>
      <c r="Q86" s="42">
        <f>P86/1000*D86</f>
        <v>7.6766666666666677E-2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E88/7*C4</f>
        <v>45.714285714285722</v>
      </c>
      <c r="E88" s="4">
        <f>350+50</f>
        <v>400</v>
      </c>
      <c r="F88" s="4">
        <f>172*C4</f>
        <v>137.6</v>
      </c>
    </row>
    <row r="89" spans="1:17" ht="17" x14ac:dyDescent="0.2">
      <c r="B89" s="1" t="s">
        <v>183</v>
      </c>
      <c r="D89" s="1">
        <f t="shared" ref="D89:D94" si="25">$D$88/6</f>
        <v>7.6190476190476204</v>
      </c>
      <c r="E89" s="1">
        <f t="shared" ref="E89:E94" si="26">D89*$E$10</f>
        <v>53.333333333333343</v>
      </c>
      <c r="G89" s="31">
        <f>'Price list REWE '!E86</f>
        <v>4.58</v>
      </c>
      <c r="H89" s="31">
        <f t="shared" ref="H89:H94" si="27">G89/1000*D89</f>
        <v>3.4895238095238097E-2</v>
      </c>
      <c r="J89" s="42">
        <f>'Price list REWE '!H86</f>
        <v>3.3</v>
      </c>
      <c r="K89" s="42">
        <f t="shared" ref="K89:K94" si="28">J89/1000*D89</f>
        <v>2.5142857142857147E-2</v>
      </c>
      <c r="M89" s="31">
        <f>'Price list ALDI Süd'!E86</f>
        <v>3.98</v>
      </c>
      <c r="N89" s="31">
        <f t="shared" ref="N89:N94" si="29">M89/1000*D89</f>
        <v>3.0323809523809531E-2</v>
      </c>
      <c r="P89" s="42">
        <f>'Price list ALDI Süd'!H86</f>
        <v>3.3</v>
      </c>
      <c r="Q89" s="42">
        <f t="shared" ref="Q89:Q94" si="30">P89/1000*D89</f>
        <v>2.5142857142857147E-2</v>
      </c>
    </row>
    <row r="90" spans="1:17" ht="17" x14ac:dyDescent="0.2">
      <c r="B90" s="1" t="s">
        <v>186</v>
      </c>
      <c r="D90" s="1">
        <f t="shared" si="25"/>
        <v>7.6190476190476204</v>
      </c>
      <c r="E90" s="1">
        <f t="shared" si="26"/>
        <v>53.333333333333343</v>
      </c>
      <c r="G90" s="31">
        <f>'Price list REWE '!E87</f>
        <v>2.9749999999999996</v>
      </c>
      <c r="H90" s="31">
        <f t="shared" si="27"/>
        <v>2.2666666666666668E-2</v>
      </c>
      <c r="J90" s="42">
        <f>'Price list REWE '!H87</f>
        <v>3.5833333333333335</v>
      </c>
      <c r="K90" s="42">
        <f t="shared" si="28"/>
        <v>2.7301587301587306E-2</v>
      </c>
      <c r="M90" s="31">
        <f>'Price list ALDI Süd'!E87</f>
        <v>2.9749999999999996</v>
      </c>
      <c r="N90" s="31">
        <f t="shared" si="29"/>
        <v>2.2666666666666668E-2</v>
      </c>
      <c r="P90" s="42">
        <f>'Price list ALDI Süd'!H87</f>
        <v>3.5833333333333335</v>
      </c>
      <c r="Q90" s="42">
        <f t="shared" si="30"/>
        <v>2.7301587301587306E-2</v>
      </c>
    </row>
    <row r="91" spans="1:17" ht="17" x14ac:dyDescent="0.2">
      <c r="B91" s="1" t="s">
        <v>189</v>
      </c>
      <c r="D91" s="1">
        <f t="shared" si="25"/>
        <v>7.6190476190476204</v>
      </c>
      <c r="E91" s="1">
        <f t="shared" si="26"/>
        <v>53.333333333333343</v>
      </c>
      <c r="G91" s="31">
        <f>'Price list REWE '!E88</f>
        <v>1.7249999999999999</v>
      </c>
      <c r="H91" s="31">
        <f t="shared" si="27"/>
        <v>1.3142857142857145E-2</v>
      </c>
      <c r="J91" s="42">
        <f>'Price list REWE '!H88</f>
        <v>2.75</v>
      </c>
      <c r="K91" s="42">
        <f t="shared" si="28"/>
        <v>2.0952380952380955E-2</v>
      </c>
      <c r="M91" s="31">
        <f>'Price list ALDI Süd'!E88</f>
        <v>1.7249999999999999</v>
      </c>
      <c r="N91" s="31">
        <f t="shared" si="29"/>
        <v>1.3142857142857145E-2</v>
      </c>
      <c r="P91" s="42">
        <f>'Price list ALDI Süd'!H88</f>
        <v>2.75</v>
      </c>
      <c r="Q91" s="42">
        <f t="shared" si="30"/>
        <v>2.0952380952380955E-2</v>
      </c>
    </row>
    <row r="92" spans="1:17" ht="17" x14ac:dyDescent="0.2">
      <c r="B92" s="1" t="s">
        <v>192</v>
      </c>
      <c r="D92" s="1">
        <f t="shared" si="25"/>
        <v>7.6190476190476204</v>
      </c>
      <c r="E92" s="1">
        <f t="shared" si="26"/>
        <v>53.333333333333343</v>
      </c>
      <c r="G92" s="31">
        <f>'Price list REWE '!E89</f>
        <v>1.99</v>
      </c>
      <c r="H92" s="31">
        <f t="shared" si="27"/>
        <v>1.5161904761904765E-2</v>
      </c>
      <c r="J92" s="42">
        <f>'Price list REWE '!H89</f>
        <v>3.98</v>
      </c>
      <c r="K92" s="42">
        <f t="shared" si="28"/>
        <v>3.0323809523809531E-2</v>
      </c>
      <c r="M92" s="31">
        <f>'Price list ALDI Süd'!E89</f>
        <v>1.99</v>
      </c>
      <c r="N92" s="31">
        <f t="shared" si="29"/>
        <v>1.5161904761904765E-2</v>
      </c>
      <c r="P92" s="42">
        <f>'Price list ALDI Süd'!H89</f>
        <v>3.32</v>
      </c>
      <c r="Q92" s="42">
        <f t="shared" si="30"/>
        <v>2.52952380952381E-2</v>
      </c>
    </row>
    <row r="93" spans="1:17" ht="17" x14ac:dyDescent="0.2">
      <c r="B93" s="1" t="s">
        <v>622</v>
      </c>
      <c r="D93" s="1">
        <f t="shared" si="25"/>
        <v>7.6190476190476204</v>
      </c>
      <c r="E93" s="1">
        <f t="shared" si="26"/>
        <v>53.333333333333343</v>
      </c>
      <c r="G93" s="31">
        <f>'Price list REWE '!E90</f>
        <v>1.7249999999999999</v>
      </c>
      <c r="H93" s="31">
        <f t="shared" si="27"/>
        <v>1.3142857142857145E-2</v>
      </c>
      <c r="J93" s="42">
        <f>'Price list REWE '!H90</f>
        <v>3</v>
      </c>
      <c r="K93" s="42">
        <f t="shared" si="28"/>
        <v>2.2857142857142861E-2</v>
      </c>
      <c r="M93" s="31">
        <f>'Price list ALDI Süd'!E90</f>
        <v>1.7249999999999999</v>
      </c>
      <c r="N93" s="31">
        <f t="shared" si="29"/>
        <v>1.3142857142857145E-2</v>
      </c>
      <c r="P93" s="42">
        <f>'Price list ALDI Süd'!H90</f>
        <v>2.75</v>
      </c>
      <c r="Q93" s="42">
        <f t="shared" si="30"/>
        <v>2.0952380952380955E-2</v>
      </c>
    </row>
    <row r="94" spans="1:17" ht="17" x14ac:dyDescent="0.2">
      <c r="A94" s="1"/>
      <c r="B94" s="1" t="s">
        <v>623</v>
      </c>
      <c r="D94" s="1">
        <f t="shared" si="25"/>
        <v>7.6190476190476204</v>
      </c>
      <c r="E94" s="1">
        <f t="shared" si="26"/>
        <v>53.333333333333343</v>
      </c>
      <c r="G94" s="31">
        <f>'Price list REWE '!E91</f>
        <v>2.0441176470588234</v>
      </c>
      <c r="H94" s="31">
        <f t="shared" si="27"/>
        <v>1.5574229691876752E-2</v>
      </c>
      <c r="J94" s="42">
        <f>'Price list REWE '!H91</f>
        <v>2.0441176470588234</v>
      </c>
      <c r="K94" s="42">
        <f t="shared" si="28"/>
        <v>1.5574229691876752E-2</v>
      </c>
      <c r="M94" s="31">
        <f>'Price list ALDI Süd'!E91</f>
        <v>3.3559322033898304</v>
      </c>
      <c r="N94" s="31">
        <f t="shared" si="29"/>
        <v>2.556900726392252E-2</v>
      </c>
      <c r="P94" s="42">
        <f>'Price list ALDI Süd'!H91</f>
        <v>3.3559322033898304</v>
      </c>
      <c r="Q94" s="42">
        <f t="shared" si="30"/>
        <v>2.556900726392252E-2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E96/7*C4</f>
        <v>26.857142857142858</v>
      </c>
      <c r="E96" s="4">
        <f>175+60</f>
        <v>235</v>
      </c>
      <c r="F96" s="4">
        <f>112*C4</f>
        <v>89.600000000000009</v>
      </c>
    </row>
    <row r="97" spans="1:17" ht="17" x14ac:dyDescent="0.2">
      <c r="B97" s="1" t="s">
        <v>201</v>
      </c>
      <c r="D97" s="1">
        <f>D96/2</f>
        <v>13.428571428571429</v>
      </c>
      <c r="E97" s="1">
        <v>117.5</v>
      </c>
      <c r="G97" s="31">
        <f>'Price list REWE '!E94</f>
        <v>5.48</v>
      </c>
      <c r="H97" s="31">
        <f>G97/1000*D97</f>
        <v>7.3588571428571434E-2</v>
      </c>
      <c r="J97" s="42">
        <f>'Price list REWE '!H94</f>
        <v>5.48</v>
      </c>
      <c r="K97" s="42">
        <f>J97/1000*D97</f>
        <v>7.3588571428571434E-2</v>
      </c>
      <c r="M97" s="31">
        <f>'Price list ALDI Süd'!E94</f>
        <v>5.48</v>
      </c>
      <c r="N97" s="31">
        <f>M97/1000*D97</f>
        <v>7.3588571428571434E-2</v>
      </c>
      <c r="P97" s="42">
        <f>'Price list ALDI Süd'!H94</f>
        <v>5.48</v>
      </c>
      <c r="Q97" s="42">
        <f>P97/1000*D97</f>
        <v>7.3588571428571434E-2</v>
      </c>
    </row>
    <row r="98" spans="1:17" ht="17" x14ac:dyDescent="0.2">
      <c r="B98" s="1" t="s">
        <v>203</v>
      </c>
      <c r="D98" s="1">
        <f>D96/2</f>
        <v>13.428571428571429</v>
      </c>
      <c r="E98" s="1">
        <v>117.5</v>
      </c>
      <c r="G98" s="31">
        <f>'Price list REWE '!E95</f>
        <v>6.26</v>
      </c>
      <c r="H98" s="31">
        <f>G98/1000*D98</f>
        <v>8.4062857142857147E-2</v>
      </c>
      <c r="J98" s="42">
        <f>'Price list REWE '!H95</f>
        <v>6.26</v>
      </c>
      <c r="K98" s="42">
        <f>J98/1000*D98</f>
        <v>8.4062857142857147E-2</v>
      </c>
      <c r="M98" s="31">
        <f>'Price list ALDI Süd'!E95</f>
        <v>6.26</v>
      </c>
      <c r="N98" s="31">
        <f>M98/1000*D98</f>
        <v>8.4062857142857147E-2</v>
      </c>
      <c r="P98" s="42">
        <f>'Price list ALDI Süd'!H95</f>
        <v>6.26</v>
      </c>
      <c r="Q98" s="42">
        <f>P98/1000*D98</f>
        <v>8.4062857142857147E-2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113.60000000000001</v>
      </c>
    </row>
    <row r="102" spans="1:17" ht="17" x14ac:dyDescent="0.2">
      <c r="B102" s="1" t="s">
        <v>207</v>
      </c>
      <c r="D102" s="1">
        <f>25*C4</f>
        <v>20</v>
      </c>
      <c r="E102" s="1">
        <f>D102*E10</f>
        <v>140</v>
      </c>
      <c r="G102" s="31">
        <f>'Price list REWE '!E99</f>
        <v>4.9800000000000004</v>
      </c>
      <c r="H102" s="31">
        <f>G102/1000*D102</f>
        <v>9.9599999999999994E-2</v>
      </c>
      <c r="J102" s="42">
        <f>'Price list REWE '!H99</f>
        <v>4.9800000000000004</v>
      </c>
      <c r="K102" s="42">
        <f>J102/1000*D102</f>
        <v>9.9599999999999994E-2</v>
      </c>
      <c r="M102" s="31">
        <f>'Price list ALDI Süd'!E99</f>
        <v>4.9800000000000004</v>
      </c>
      <c r="N102" s="31">
        <f>M102/1000*D102</f>
        <v>9.9599999999999994E-2</v>
      </c>
      <c r="P102" s="42">
        <f>'Price list ALDI Süd'!H99</f>
        <v>4.9800000000000004</v>
      </c>
      <c r="Q102" s="42">
        <f>P102/1000*D102</f>
        <v>9.9599999999999994E-2</v>
      </c>
    </row>
    <row r="103" spans="1:17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20</v>
      </c>
      <c r="E104" s="8">
        <f>D104*7</f>
        <v>140</v>
      </c>
      <c r="F104" s="8">
        <f>149*C4</f>
        <v>119.2</v>
      </c>
    </row>
    <row r="105" spans="1:17" ht="17" x14ac:dyDescent="0.2">
      <c r="B105" s="1" t="s">
        <v>210</v>
      </c>
      <c r="D105" s="7">
        <f>D104/2</f>
        <v>10</v>
      </c>
      <c r="E105" s="1">
        <f>D105*7</f>
        <v>70</v>
      </c>
      <c r="G105" s="31">
        <f>'Price list REWE '!E102</f>
        <v>11.45</v>
      </c>
      <c r="H105" s="31">
        <f>G105/1000*D105</f>
        <v>0.1145</v>
      </c>
      <c r="J105" s="42">
        <f>'Price list REWE '!H102</f>
        <v>17.95</v>
      </c>
      <c r="K105" s="42">
        <f>J105/1000*D105</f>
        <v>0.17949999999999999</v>
      </c>
      <c r="M105" s="31">
        <f>'Price list ALDI Süd'!E102</f>
        <v>11.45</v>
      </c>
      <c r="N105" s="31">
        <f>M105/1000*D105</f>
        <v>0.1145</v>
      </c>
      <c r="P105" s="42">
        <f>'Price list ALDI Süd'!H102</f>
        <v>14.75</v>
      </c>
      <c r="Q105" s="42">
        <f>P105/1000*D105</f>
        <v>0.14749999999999999</v>
      </c>
    </row>
    <row r="106" spans="1:17" ht="17" x14ac:dyDescent="0.2">
      <c r="B106" s="1" t="s">
        <v>213</v>
      </c>
      <c r="D106" s="7">
        <f>D104/2</f>
        <v>10</v>
      </c>
      <c r="E106" s="1">
        <f>D106*7</f>
        <v>70</v>
      </c>
      <c r="F106" s="7"/>
      <c r="G106" s="31">
        <f>'Price list REWE '!E103</f>
        <v>11.45</v>
      </c>
      <c r="H106" s="31">
        <f>G106/1000*D106</f>
        <v>0.1145</v>
      </c>
      <c r="J106" s="42">
        <f>'Price list REWE '!H103</f>
        <v>11.45</v>
      </c>
      <c r="K106" s="42">
        <f>J106/1000*D106</f>
        <v>0.1145</v>
      </c>
      <c r="M106" s="31">
        <f>'Price list ALDI Süd'!E103</f>
        <v>11.45</v>
      </c>
      <c r="N106" s="31">
        <f>M106/1000*D106</f>
        <v>0.1145</v>
      </c>
      <c r="P106" s="42">
        <f>'Price list ALDI Süd'!H103</f>
        <v>11.45</v>
      </c>
      <c r="Q106" s="42">
        <f>P106/1000*D106</f>
        <v>0.1145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5.44</v>
      </c>
      <c r="E108" s="8">
        <f>D108*7</f>
        <v>38.080000000000005</v>
      </c>
      <c r="F108" s="8">
        <f>60*C4</f>
        <v>48</v>
      </c>
    </row>
    <row r="109" spans="1:17" ht="17" x14ac:dyDescent="0.2">
      <c r="B109" s="1" t="s">
        <v>216</v>
      </c>
      <c r="D109" s="1">
        <f>D108</f>
        <v>5.44</v>
      </c>
      <c r="E109" s="1">
        <f>D109*7</f>
        <v>38.080000000000005</v>
      </c>
      <c r="G109" s="31">
        <f>'Price list REWE '!E106</f>
        <v>2.98</v>
      </c>
      <c r="H109" s="31">
        <f>G109/1000*D109</f>
        <v>1.6211200000000002E-2</v>
      </c>
      <c r="J109" s="42">
        <f>'Price list REWE '!H106</f>
        <v>7.16</v>
      </c>
      <c r="K109" s="42">
        <f>J109/1000*D109</f>
        <v>3.8950400000000003E-2</v>
      </c>
      <c r="M109" s="31">
        <f>'Price list ALDI Süd'!E106</f>
        <v>3.38</v>
      </c>
      <c r="N109" s="31">
        <f>M109/1000*D109</f>
        <v>1.8387199999999999E-2</v>
      </c>
      <c r="P109" s="42">
        <f>'Price list ALDI Süd'!H106</f>
        <v>7.16</v>
      </c>
      <c r="Q109" s="42">
        <f>P109/1000*D109</f>
        <v>3.8950400000000003E-2</v>
      </c>
    </row>
    <row r="110" spans="1:17" x14ac:dyDescent="0.2">
      <c r="A110" s="9">
        <v>1</v>
      </c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32</v>
      </c>
      <c r="E111" s="8">
        <f>D111*7</f>
        <v>224</v>
      </c>
      <c r="F111" s="8">
        <f>354*C4</f>
        <v>283.2</v>
      </c>
    </row>
    <row r="112" spans="1:17" ht="17" x14ac:dyDescent="0.2">
      <c r="B112" s="1" t="s">
        <v>220</v>
      </c>
      <c r="D112" s="1">
        <f>$D$111/3</f>
        <v>10.666666666666666</v>
      </c>
      <c r="E112" s="7">
        <f>D112*7</f>
        <v>74.666666666666657</v>
      </c>
      <c r="G112" s="31">
        <f>'Price list REWE '!E109</f>
        <v>3.78</v>
      </c>
      <c r="H112" s="31">
        <f>G112/1000*D112</f>
        <v>4.0319999999999995E-2</v>
      </c>
      <c r="J112" s="42">
        <f>'Price list REWE '!H109</f>
        <v>3.5</v>
      </c>
      <c r="K112" s="42">
        <f>J112/1000*D112</f>
        <v>3.7333333333333329E-2</v>
      </c>
      <c r="M112" s="31">
        <f>'Price list ALDI Süd'!E109</f>
        <v>1.851</v>
      </c>
      <c r="N112" s="31">
        <f>M112/1000*D112</f>
        <v>1.9743999999999998E-2</v>
      </c>
      <c r="P112" s="42">
        <f>'Price list ALDI Süd'!H109</f>
        <v>3.7</v>
      </c>
      <c r="Q112" s="42">
        <f>P112/1000*D112</f>
        <v>3.9466666666666664E-2</v>
      </c>
    </row>
    <row r="113" spans="1:17" ht="17" x14ac:dyDescent="0.2">
      <c r="A113" s="1"/>
      <c r="B113" s="1" t="s">
        <v>223</v>
      </c>
      <c r="D113" s="1">
        <f>$D$111/3</f>
        <v>10.666666666666666</v>
      </c>
      <c r="E113" s="1">
        <f>D113*7</f>
        <v>74.666666666666657</v>
      </c>
      <c r="G113" s="31">
        <f>'Price list REWE '!E110</f>
        <v>8.99</v>
      </c>
      <c r="H113" s="31">
        <f>G113/1000*D113</f>
        <v>9.589333333333333E-2</v>
      </c>
      <c r="J113" s="42">
        <f>'Price list REWE '!H110</f>
        <v>14.58</v>
      </c>
      <c r="K113" s="42">
        <f>J113/1000*D113</f>
        <v>0.15551999999999999</v>
      </c>
      <c r="M113" s="31">
        <f>'Price list ALDI Süd'!E110</f>
        <v>7.99</v>
      </c>
      <c r="N113" s="31">
        <f>M113/1000*D113</f>
        <v>8.5226666666666673E-2</v>
      </c>
      <c r="P113" s="42">
        <f>'Price list ALDI Süd'!H110</f>
        <v>9.32</v>
      </c>
      <c r="Q113" s="42">
        <f>P113/1000*D113</f>
        <v>9.9413333333333326E-2</v>
      </c>
    </row>
    <row r="114" spans="1:17" ht="17" x14ac:dyDescent="0.2">
      <c r="A114" s="1"/>
      <c r="B114" s="1" t="s">
        <v>226</v>
      </c>
      <c r="D114" s="1">
        <f>$D$111/3</f>
        <v>10.666666666666666</v>
      </c>
      <c r="E114" s="1">
        <f>D114*7</f>
        <v>74.666666666666657</v>
      </c>
      <c r="F114" s="7"/>
      <c r="G114" s="31">
        <f>'Price list REWE '!E111</f>
        <v>10.36</v>
      </c>
      <c r="H114" s="31">
        <f>G114/1000*D114</f>
        <v>0.11050666666666666</v>
      </c>
      <c r="J114" s="42">
        <f>'Price list REWE '!H111</f>
        <v>15.96</v>
      </c>
      <c r="K114" s="42">
        <f>J114/1000*D114</f>
        <v>0.17024</v>
      </c>
      <c r="M114" s="31">
        <f>'Price list ALDI Süd'!E111</f>
        <v>6.76</v>
      </c>
      <c r="N114" s="31">
        <f>M114/1000*D114</f>
        <v>7.2106666666666652E-2</v>
      </c>
      <c r="P114" s="42">
        <f>'Price list ALDI Süd'!H111</f>
        <v>6.76</v>
      </c>
      <c r="Q114" s="42">
        <f>P114/1000*D114</f>
        <v>7.2106666666666652E-2</v>
      </c>
    </row>
    <row r="115" spans="1:17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28.8</v>
      </c>
    </row>
    <row r="117" spans="1:17" ht="17" x14ac:dyDescent="0.2">
      <c r="B117" s="1" t="s">
        <v>230</v>
      </c>
      <c r="D117" s="7">
        <f>5*C4</f>
        <v>4</v>
      </c>
      <c r="E117" s="7">
        <f>D117*7</f>
        <v>28</v>
      </c>
      <c r="G117" s="31">
        <f>'Price list REWE '!E114</f>
        <v>5.8</v>
      </c>
      <c r="H117" s="31">
        <f>G117/1000*D117</f>
        <v>2.3199999999999998E-2</v>
      </c>
      <c r="J117" s="42">
        <f>'Price list REWE '!H114</f>
        <v>11.96</v>
      </c>
      <c r="K117" s="42">
        <f>J117/1000*D117</f>
        <v>4.7840000000000001E-2</v>
      </c>
      <c r="M117" s="31">
        <f>'Price list ALDI Süd'!E114</f>
        <v>5.8</v>
      </c>
      <c r="N117" s="31">
        <f>M117/1000*D117</f>
        <v>2.3199999999999998E-2</v>
      </c>
      <c r="P117" s="42">
        <f>'Price list ALDI Süd'!H114</f>
        <v>11.96</v>
      </c>
      <c r="Q117" s="42">
        <f>P117/1000*D117</f>
        <v>4.7840000000000001E-2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7" x14ac:dyDescent="0.2">
      <c r="A119" s="12" t="s">
        <v>414</v>
      </c>
      <c r="D119" s="4">
        <f>31*C4</f>
        <v>24.8</v>
      </c>
      <c r="E119" s="4">
        <f>D119*E10</f>
        <v>173.6</v>
      </c>
      <c r="F119" s="4">
        <f>120*C4</f>
        <v>96</v>
      </c>
    </row>
    <row r="120" spans="1:17" ht="17" x14ac:dyDescent="0.2">
      <c r="A120" s="188"/>
      <c r="B120" s="1" t="s">
        <v>234</v>
      </c>
      <c r="D120" s="1">
        <f>D119/3</f>
        <v>8.2666666666666675</v>
      </c>
      <c r="E120" s="1">
        <f>D120*7</f>
        <v>57.866666666666674</v>
      </c>
      <c r="G120" s="31">
        <f>'Price list REWE '!E117</f>
        <v>1.49</v>
      </c>
      <c r="H120" s="31">
        <f>G120/1000*D120</f>
        <v>1.2317333333333335E-2</v>
      </c>
      <c r="J120" s="42">
        <f>'Price list REWE '!H117</f>
        <v>2.59</v>
      </c>
      <c r="K120" s="42">
        <f>J120/1000*D120</f>
        <v>2.1410666666666668E-2</v>
      </c>
      <c r="M120" s="31">
        <f>'Price list ALDI Süd'!E117</f>
        <v>1.49</v>
      </c>
      <c r="N120" s="31">
        <f>M120/1000*D120</f>
        <v>1.2317333333333335E-2</v>
      </c>
      <c r="P120" s="42">
        <f>'Price list ALDI Süd'!H117</f>
        <v>2.59</v>
      </c>
      <c r="Q120" s="42">
        <f>P120/1000*D120</f>
        <v>2.1410666666666668E-2</v>
      </c>
    </row>
    <row r="121" spans="1:17" ht="17" x14ac:dyDescent="0.2">
      <c r="B121" s="1" t="s">
        <v>237</v>
      </c>
      <c r="D121" s="1">
        <f>D119/3</f>
        <v>8.2666666666666675</v>
      </c>
      <c r="E121" s="1">
        <f>D121*7</f>
        <v>57.866666666666674</v>
      </c>
      <c r="G121" s="31">
        <f>'Price list REWE '!E118</f>
        <v>5.9</v>
      </c>
      <c r="H121" s="31">
        <f>G121/1000*D121</f>
        <v>4.8773333333333342E-2</v>
      </c>
      <c r="J121" s="42">
        <f>'Price list REWE '!H118</f>
        <v>12.9</v>
      </c>
      <c r="K121" s="42">
        <f>J121/1000*D121</f>
        <v>0.10664000000000001</v>
      </c>
      <c r="M121" s="31">
        <f>'Price list ALDI Süd'!E118</f>
        <v>5.9</v>
      </c>
      <c r="N121" s="31">
        <f>M121/1000*D121</f>
        <v>4.8773333333333342E-2</v>
      </c>
      <c r="P121" s="42">
        <f>'Price list ALDI Süd'!H118</f>
        <v>12.9</v>
      </c>
      <c r="Q121" s="42">
        <f>P121/1000*D121</f>
        <v>0.10664000000000001</v>
      </c>
    </row>
    <row r="122" spans="1:17" ht="17" x14ac:dyDescent="0.2">
      <c r="B122" s="252" t="s">
        <v>240</v>
      </c>
      <c r="D122" s="1">
        <f>D119/3</f>
        <v>8.2666666666666675</v>
      </c>
      <c r="E122" s="1">
        <f>D122*7</f>
        <v>57.866666666666674</v>
      </c>
      <c r="G122" s="31">
        <f>'Price list REWE '!E119</f>
        <v>3.66</v>
      </c>
      <c r="H122" s="31">
        <f>G122/1000*D122</f>
        <v>3.0256000000000005E-2</v>
      </c>
      <c r="J122" s="42">
        <f>'Price list REWE '!H119</f>
        <v>14.9</v>
      </c>
      <c r="K122" s="42">
        <f>J122/1000*D122</f>
        <v>0.12317333333333334</v>
      </c>
      <c r="M122" s="31">
        <f>'Price list ALDI Süd'!E119</f>
        <v>3.96</v>
      </c>
      <c r="N122" s="31">
        <f>M122/1000*D122</f>
        <v>3.2736000000000001E-2</v>
      </c>
      <c r="P122" s="42">
        <f>'Price list ALDI Süd'!H119</f>
        <v>9.4499999999999993</v>
      </c>
      <c r="Q122" s="42">
        <f>P122/1000*D122</f>
        <v>7.8120000000000009E-2</v>
      </c>
    </row>
    <row r="123" spans="1:17" x14ac:dyDescent="0.2">
      <c r="A123" s="9">
        <v>3</v>
      </c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1200</v>
      </c>
      <c r="E124" s="4">
        <f>D124*E10</f>
        <v>8400</v>
      </c>
    </row>
    <row r="125" spans="1:17" ht="17" x14ac:dyDescent="0.2">
      <c r="B125" s="1" t="s">
        <v>415</v>
      </c>
      <c r="D125" s="1">
        <f>D124-D126</f>
        <v>800</v>
      </c>
      <c r="E125" s="1">
        <f>D125*7</f>
        <v>5600</v>
      </c>
      <c r="G125" s="31">
        <f>'Price list REWE '!E129</f>
        <v>0.18</v>
      </c>
      <c r="H125" s="31">
        <f>G125/1000*D125</f>
        <v>0.14399999999999999</v>
      </c>
      <c r="J125" s="42">
        <f>'Price list REWE '!H129</f>
        <v>0.18</v>
      </c>
      <c r="K125" s="42">
        <f>J125/1000*D125</f>
        <v>0.14399999999999999</v>
      </c>
      <c r="M125" s="31">
        <f>'Price list ALDI Süd'!E129</f>
        <v>0.18</v>
      </c>
      <c r="N125" s="31">
        <f>M125/1000*D125</f>
        <v>0.14399999999999999</v>
      </c>
      <c r="P125" s="42">
        <f>'Price list ALDI Süd'!H129</f>
        <v>0.18</v>
      </c>
      <c r="Q125" s="42">
        <f>P125/1000*D125</f>
        <v>0.14399999999999999</v>
      </c>
    </row>
    <row r="126" spans="1:17" ht="17" x14ac:dyDescent="0.2">
      <c r="B126" s="1" t="s">
        <v>417</v>
      </c>
      <c r="D126" s="1">
        <v>400</v>
      </c>
      <c r="E126" s="1">
        <f>D126*7</f>
        <v>2800</v>
      </c>
      <c r="G126" s="31">
        <f>'Price list REWE '!E130</f>
        <v>12.27</v>
      </c>
      <c r="H126" s="31">
        <f>G126/1000*(56/25)*2</f>
        <v>5.49696E-2</v>
      </c>
      <c r="J126" s="42">
        <f>'Price list REWE '!H130</f>
        <v>67.25</v>
      </c>
      <c r="K126" s="42">
        <f>J126/1000*(40/20)*2</f>
        <v>0.26900000000000002</v>
      </c>
      <c r="M126" s="31">
        <f>'Price list ALDI Süd'!E130</f>
        <v>12.27</v>
      </c>
      <c r="N126" s="31">
        <f>M126/1000*(56.25/25)*2</f>
        <v>5.5215E-2</v>
      </c>
      <c r="P126" s="42">
        <f>'Price list ALDI Süd'!H130</f>
        <v>67.25</v>
      </c>
      <c r="Q126" s="42">
        <f>P126/1000*(40/20)*2</f>
        <v>0.26900000000000002</v>
      </c>
    </row>
    <row r="127" spans="1:17" ht="17" x14ac:dyDescent="0.2">
      <c r="B127" s="1" t="s">
        <v>420</v>
      </c>
      <c r="D127" s="1">
        <f>E127/7</f>
        <v>28.571428571428573</v>
      </c>
      <c r="E127" s="1">
        <v>200</v>
      </c>
      <c r="G127" s="31">
        <f>'Price list REWE '!E131</f>
        <v>0.39</v>
      </c>
      <c r="H127" s="31">
        <f>G127/1000*D127</f>
        <v>1.1142857142857144E-2</v>
      </c>
      <c r="J127" s="42">
        <f>'Price list REWE '!H131</f>
        <v>3.79</v>
      </c>
      <c r="K127" s="42">
        <f>J127/1000*D127</f>
        <v>0.10828571428571429</v>
      </c>
      <c r="M127" s="31">
        <f>'Price list ALDI Süd'!E131</f>
        <v>0.39</v>
      </c>
      <c r="N127" s="31">
        <f>M127/1000*D127</f>
        <v>1.1142857142857144E-2</v>
      </c>
      <c r="P127" s="42">
        <f>'Price list ALDI Süd'!H131</f>
        <v>3.79</v>
      </c>
      <c r="Q127" s="42">
        <f>P127/1000*D127</f>
        <v>0.10828571428571429</v>
      </c>
    </row>
    <row r="128" spans="1:17" ht="17" x14ac:dyDescent="0.2">
      <c r="B128" s="1" t="s">
        <v>421</v>
      </c>
      <c r="D128" s="1">
        <f>E128/7</f>
        <v>28.571428571428573</v>
      </c>
      <c r="E128" s="1">
        <v>200</v>
      </c>
      <c r="G128" s="31">
        <f>'Price list REWE '!E132</f>
        <v>1.29</v>
      </c>
      <c r="H128" s="31">
        <f>G128/1000*D128</f>
        <v>3.6857142857142866E-2</v>
      </c>
      <c r="J128" s="42">
        <f>'Price list REWE '!H132</f>
        <v>2.39</v>
      </c>
      <c r="K128" s="42">
        <f>J128/1000*D128</f>
        <v>6.8285714285714297E-2</v>
      </c>
      <c r="M128" s="31">
        <f>'Price list ALDI Süd'!E132</f>
        <v>1.29</v>
      </c>
      <c r="N128" s="31">
        <f>M128/1000*D128</f>
        <v>3.6857142857142866E-2</v>
      </c>
      <c r="P128" s="42">
        <f>'Price list ALDI Süd'!H132</f>
        <v>3.32</v>
      </c>
      <c r="Q128" s="42">
        <f>P128/1000*D128</f>
        <v>9.4857142857142862E-2</v>
      </c>
    </row>
    <row r="129" spans="1:19" x14ac:dyDescent="0.2">
      <c r="A129" s="9">
        <v>4</v>
      </c>
      <c r="H129" s="9"/>
    </row>
    <row r="130" spans="1:19" s="4" customFormat="1" ht="17" x14ac:dyDescent="0.2">
      <c r="A130" s="185" t="s">
        <v>431</v>
      </c>
      <c r="F130" s="275" t="s">
        <v>423</v>
      </c>
      <c r="G130" s="91"/>
      <c r="H130" s="185" t="s">
        <v>432</v>
      </c>
      <c r="I130" s="81"/>
      <c r="J130" s="81"/>
      <c r="K130" s="185" t="s">
        <v>432</v>
      </c>
      <c r="L130" s="220"/>
      <c r="M130" s="220"/>
      <c r="N130" s="185" t="s">
        <v>432</v>
      </c>
      <c r="O130" s="220"/>
      <c r="P130" s="220"/>
      <c r="Q130" s="185" t="s">
        <v>432</v>
      </c>
      <c r="R130" s="255"/>
      <c r="S130" s="92"/>
    </row>
    <row r="131" spans="1:19" ht="17" x14ac:dyDescent="0.2">
      <c r="A131" s="273">
        <f>A129+A123+A118+A115+A107+A103+A99+A95+A87+A82+A79+A76+A73+A70+A59+A47+A40+A20+A17+A32+A110</f>
        <v>74</v>
      </c>
      <c r="F131" s="1">
        <f>F119+F116+F111+F108+F104+F101+F96+F88+F83+F80+F77+F74+F71+F60+F48+F41+F33+F23+F18+F11</f>
        <v>2002.4000000000005</v>
      </c>
      <c r="G131" s="182"/>
      <c r="H131" s="1" t="s">
        <v>433</v>
      </c>
      <c r="K131" s="1" t="s">
        <v>433</v>
      </c>
      <c r="N131" s="1" t="s">
        <v>433</v>
      </c>
      <c r="Q131" s="1" t="s">
        <v>433</v>
      </c>
    </row>
    <row r="132" spans="1:19" x14ac:dyDescent="0.2">
      <c r="D132" s="9"/>
      <c r="E132" s="9"/>
      <c r="G132" s="182"/>
      <c r="H132" s="1">
        <f>SUM(H12:H128)</f>
        <v>3.6338139740155153</v>
      </c>
      <c r="K132" s="1">
        <f>SUM(K12:K128)</f>
        <v>5.841925705730632</v>
      </c>
      <c r="N132" s="1">
        <f>SUM(N12:N128)</f>
        <v>3.5351707210751564</v>
      </c>
      <c r="Q132" s="1">
        <f>SUM(Q12:Q128)</f>
        <v>5.2456804788525524</v>
      </c>
    </row>
    <row r="133" spans="1:19" x14ac:dyDescent="0.2">
      <c r="G133" s="182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9" ht="17" x14ac:dyDescent="0.2">
      <c r="G134" s="183"/>
      <c r="H134" s="9" t="s">
        <v>434</v>
      </c>
      <c r="I134" s="9"/>
      <c r="J134" s="9"/>
      <c r="K134" s="9" t="s">
        <v>434</v>
      </c>
      <c r="L134" s="9"/>
      <c r="M134" s="9"/>
      <c r="N134" s="9" t="s">
        <v>434</v>
      </c>
      <c r="O134" s="9"/>
      <c r="P134" s="9"/>
      <c r="Q134" s="9" t="s">
        <v>434</v>
      </c>
    </row>
    <row r="135" spans="1:19" x14ac:dyDescent="0.2">
      <c r="H135" s="9">
        <f>H132*30</f>
        <v>109.01441922046546</v>
      </c>
      <c r="K135" s="9">
        <f>K132*30</f>
        <v>175.25777117191896</v>
      </c>
      <c r="L135" s="9"/>
      <c r="M135" s="9"/>
      <c r="N135" s="9">
        <f>N132*30</f>
        <v>106.0551216322547</v>
      </c>
      <c r="O135" s="9"/>
      <c r="P135" s="9"/>
      <c r="Q135" s="9">
        <f>Q132*30</f>
        <v>157.37041436557658</v>
      </c>
    </row>
  </sheetData>
  <mergeCells count="9">
    <mergeCell ref="A4:B4"/>
    <mergeCell ref="A1:Q1"/>
    <mergeCell ref="A2:Q2"/>
    <mergeCell ref="M7:N8"/>
    <mergeCell ref="P7:Q8"/>
    <mergeCell ref="G7:H8"/>
    <mergeCell ref="J7:K8"/>
    <mergeCell ref="G5:K6"/>
    <mergeCell ref="M5:Q6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5B6A2-93AD-6F42-8A7A-6CFA849360C1}">
  <sheetPr codeName="Tabelle21">
    <tabColor theme="4" tint="0.79998168889431442"/>
    <pageSetUpPr fitToPage="1"/>
  </sheetPr>
  <dimension ref="A1:S136"/>
  <sheetViews>
    <sheetView topLeftCell="C1" zoomScale="82" zoomScaleNormal="80" workbookViewId="0">
      <pane ySplit="9" topLeftCell="A112" activePane="bottomLeft" state="frozen"/>
      <selection activeCell="C1" sqref="C1"/>
      <selection pane="bottomLeft" activeCell="N126" sqref="N126"/>
    </sheetView>
  </sheetViews>
  <sheetFormatPr baseColWidth="10" defaultColWidth="10.83203125" defaultRowHeight="16" x14ac:dyDescent="0.2"/>
  <cols>
    <col min="1" max="1" width="26" style="9" customWidth="1"/>
    <col min="2" max="2" width="29.1640625" style="1" customWidth="1"/>
    <col min="3" max="3" width="11.83203125" style="1" customWidth="1"/>
    <col min="4" max="4" width="19.33203125" style="1" customWidth="1"/>
    <col min="5" max="5" width="22" style="1" customWidth="1"/>
    <col min="6" max="6" width="15.1640625" style="1" customWidth="1"/>
    <col min="7" max="8" width="16" style="1" customWidth="1"/>
    <col min="9" max="10" width="15.5" style="1" customWidth="1"/>
    <col min="11" max="12" width="15.6640625" style="1" customWidth="1"/>
    <col min="13" max="13" width="15.33203125" style="1" customWidth="1"/>
    <col min="14" max="14" width="15.1640625" style="1" customWidth="1"/>
    <col min="15" max="15" width="10.83203125" style="1"/>
    <col min="16" max="16" width="15" style="1" customWidth="1"/>
    <col min="17" max="17" width="15.6640625" style="1" customWidth="1"/>
    <col min="18" max="16384" width="10.83203125" style="1"/>
  </cols>
  <sheetData>
    <row r="1" spans="1:17" ht="20" customHeight="1" x14ac:dyDescent="0.2">
      <c r="A1" s="420" t="s">
        <v>632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21" customHeight="1" x14ac:dyDescent="0.2">
      <c r="A2" s="420" t="s">
        <v>435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x14ac:dyDescent="0.2">
      <c r="A3" s="125"/>
      <c r="B3" s="126"/>
      <c r="C3" s="126"/>
      <c r="D3" s="126"/>
      <c r="E3" s="126"/>
      <c r="F3" s="13"/>
    </row>
    <row r="4" spans="1:17" x14ac:dyDescent="0.2">
      <c r="A4" s="430" t="s">
        <v>426</v>
      </c>
      <c r="B4" s="431"/>
      <c r="C4" s="9">
        <f>2200/2500</f>
        <v>0.88</v>
      </c>
      <c r="D4" s="114"/>
      <c r="E4" s="90"/>
      <c r="F4" s="13"/>
    </row>
    <row r="5" spans="1:17" x14ac:dyDescent="0.2">
      <c r="B5" s="9"/>
      <c r="C5" s="9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x14ac:dyDescent="0.2">
      <c r="B6" s="9"/>
      <c r="C6" s="9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B7" s="9"/>
      <c r="C7" s="9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456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204.16</v>
      </c>
      <c r="E11" s="4">
        <f>D11*$E$10</f>
        <v>1429.12</v>
      </c>
      <c r="F11" s="4">
        <f>811*C4</f>
        <v>713.68</v>
      </c>
    </row>
    <row r="12" spans="1:17" ht="19" customHeight="1" x14ac:dyDescent="0.2">
      <c r="B12" s="1" t="s">
        <v>24</v>
      </c>
      <c r="D12" s="1">
        <f>30*C4</f>
        <v>26.4</v>
      </c>
      <c r="E12" s="1">
        <f t="shared" ref="E12:E16" si="0">D12*$E$10</f>
        <v>184.79999999999998</v>
      </c>
      <c r="G12" s="31">
        <f>'Price list REWE '!E9</f>
        <v>2.89</v>
      </c>
      <c r="H12" s="31">
        <f>G12/1000*D12</f>
        <v>7.6296000000000003E-2</v>
      </c>
      <c r="J12" s="42">
        <f>'Price list REWE '!H9</f>
        <v>2.89</v>
      </c>
      <c r="K12" s="42">
        <f>J12/1000*D12</f>
        <v>7.6296000000000003E-2</v>
      </c>
      <c r="M12" s="31">
        <f>'Price list ALDI Süd'!E9</f>
        <v>2.89</v>
      </c>
      <c r="N12" s="31">
        <f>M12/1000*D12</f>
        <v>7.6296000000000003E-2</v>
      </c>
      <c r="P12" s="42">
        <f>'Price list ALDI Süd'!H9</f>
        <v>2.89</v>
      </c>
      <c r="Q12" s="42">
        <f>P12/1000*D12</f>
        <v>7.6296000000000003E-2</v>
      </c>
    </row>
    <row r="13" spans="1:17" ht="17" x14ac:dyDescent="0.2">
      <c r="B13" s="1" t="s">
        <v>27</v>
      </c>
      <c r="D13" s="1">
        <f>50*C4</f>
        <v>44</v>
      </c>
      <c r="E13" s="1">
        <f t="shared" si="0"/>
        <v>308</v>
      </c>
      <c r="G13" s="31">
        <f>'Price list REWE '!E10</f>
        <v>1.58</v>
      </c>
      <c r="H13" s="31">
        <f>G13/1000*D13</f>
        <v>6.9519999999999998E-2</v>
      </c>
      <c r="J13" s="42">
        <f>'Price list REWE '!H10</f>
        <v>4.38</v>
      </c>
      <c r="K13" s="42">
        <f>J13/1000*D13</f>
        <v>0.19272</v>
      </c>
      <c r="M13" s="31">
        <f>'Price list ALDI Süd'!E10</f>
        <v>3.48</v>
      </c>
      <c r="N13" s="31">
        <f>M13/1000*D13</f>
        <v>0.15312000000000001</v>
      </c>
      <c r="P13" s="42">
        <f>'Price list ALDI Süd'!H10</f>
        <v>4.38</v>
      </c>
      <c r="Q13" s="42">
        <f>P13/1000*D13</f>
        <v>0.19272</v>
      </c>
    </row>
    <row r="14" spans="1:17" ht="17" x14ac:dyDescent="0.2">
      <c r="B14" s="1" t="s">
        <v>30</v>
      </c>
      <c r="D14" s="1">
        <f>50*C4</f>
        <v>44</v>
      </c>
      <c r="E14" s="1">
        <f t="shared" si="0"/>
        <v>308</v>
      </c>
      <c r="G14" s="31">
        <f>'Price list REWE '!E11</f>
        <v>2.13</v>
      </c>
      <c r="H14" s="31">
        <f>G14/1000*D14</f>
        <v>9.3719999999999998E-2</v>
      </c>
      <c r="J14" s="42">
        <f>'Price list REWE '!H11</f>
        <v>4.25</v>
      </c>
      <c r="K14" s="42">
        <f>J14/1000*D14</f>
        <v>0.187</v>
      </c>
      <c r="M14" s="31">
        <f>'Price list ALDI Süd'!E11</f>
        <v>2.84</v>
      </c>
      <c r="N14" s="31">
        <f>M14/1000*D14</f>
        <v>0.12495999999999999</v>
      </c>
      <c r="P14" s="42">
        <f>'Price list ALDI Süd'!H11</f>
        <v>5.25</v>
      </c>
      <c r="Q14" s="42">
        <f>P14/1000*D14</f>
        <v>0.23100000000000001</v>
      </c>
    </row>
    <row r="15" spans="1:17" ht="17" x14ac:dyDescent="0.2">
      <c r="B15" s="1" t="s">
        <v>33</v>
      </c>
      <c r="D15" s="1">
        <f>40*C4</f>
        <v>35.200000000000003</v>
      </c>
      <c r="E15" s="1">
        <f>D15*$E$10</f>
        <v>246.40000000000003</v>
      </c>
      <c r="G15" s="31">
        <f>'Price list REWE '!E12</f>
        <v>1.58</v>
      </c>
      <c r="H15" s="31">
        <f>G15/1000*D15</f>
        <v>5.5616000000000006E-2</v>
      </c>
      <c r="J15" s="42">
        <f>'Price list REWE '!H12</f>
        <v>1.98</v>
      </c>
      <c r="K15" s="42">
        <f>J15/1000*D15</f>
        <v>6.9696000000000008E-2</v>
      </c>
      <c r="M15" s="31">
        <f>'Price list ALDI Süd'!E12</f>
        <v>1.58</v>
      </c>
      <c r="N15" s="31">
        <f>M15/1000*D15</f>
        <v>5.5616000000000006E-2</v>
      </c>
      <c r="P15" s="42">
        <f>'Price list ALDI Süd'!H12</f>
        <v>1.9</v>
      </c>
      <c r="Q15" s="42">
        <f>P15/1000*D15</f>
        <v>6.6880000000000009E-2</v>
      </c>
    </row>
    <row r="16" spans="1:17" ht="17" x14ac:dyDescent="0.2">
      <c r="B16" s="1" t="s">
        <v>36</v>
      </c>
      <c r="D16" s="1">
        <f>62*C4</f>
        <v>54.56</v>
      </c>
      <c r="E16" s="1">
        <f t="shared" si="0"/>
        <v>381.92</v>
      </c>
      <c r="G16" s="31">
        <f>'Price list REWE '!E13</f>
        <v>3.58</v>
      </c>
      <c r="H16" s="31">
        <f>G16/1000*D16</f>
        <v>0.19532480000000002</v>
      </c>
      <c r="J16" s="42">
        <f>'Price list REWE '!H13</f>
        <v>2.98</v>
      </c>
      <c r="K16" s="42">
        <f>J16/1000*D16</f>
        <v>0.16258880000000001</v>
      </c>
      <c r="M16" s="31">
        <f>'Price list ALDI Süd'!E13</f>
        <v>2.98</v>
      </c>
      <c r="N16" s="31">
        <f>M16/1000*D16</f>
        <v>0.16258880000000001</v>
      </c>
      <c r="P16" s="42">
        <f>'Price list ALDI Süd'!H13</f>
        <v>2.98</v>
      </c>
      <c r="Q16" s="42">
        <f>P16/1000*D16</f>
        <v>0.16258880000000001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44</v>
      </c>
      <c r="E18" s="4">
        <f>D18*$E$10</f>
        <v>308</v>
      </c>
      <c r="F18" s="4">
        <f>39*C4</f>
        <v>34.32</v>
      </c>
      <c r="G18" s="12"/>
    </row>
    <row r="19" spans="1:17" ht="17" x14ac:dyDescent="0.2">
      <c r="B19" s="1" t="s">
        <v>41</v>
      </c>
      <c r="D19" s="1">
        <f>50*C4</f>
        <v>44</v>
      </c>
      <c r="E19" s="1">
        <f>D19*E10</f>
        <v>308</v>
      </c>
      <c r="G19" s="31">
        <f>'Price list REWE '!E16</f>
        <v>0.92</v>
      </c>
      <c r="H19" s="31">
        <f>G19/1000*D19</f>
        <v>4.0480000000000002E-2</v>
      </c>
      <c r="J19" s="42">
        <f>'Price list REWE '!H16</f>
        <v>1.53</v>
      </c>
      <c r="K19" s="42">
        <f>J19/1000*D19</f>
        <v>6.7320000000000005E-2</v>
      </c>
      <c r="M19" s="31">
        <f>'Price list ALDI Süd'!E16</f>
        <v>0.96</v>
      </c>
      <c r="N19" s="31">
        <f>M19/1000*D19</f>
        <v>4.224E-2</v>
      </c>
      <c r="P19" s="42">
        <f>'Price list ALDI Süd'!H16</f>
        <v>1.46</v>
      </c>
      <c r="Q19" s="42">
        <f>P19/1000*D19</f>
        <v>6.4239999999999992E-2</v>
      </c>
    </row>
    <row r="20" spans="1:17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264</v>
      </c>
      <c r="E21" s="4">
        <f>D21*$E$10</f>
        <v>1848</v>
      </c>
    </row>
    <row r="22" spans="1:17" x14ac:dyDescent="0.2">
      <c r="C22" s="6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88</v>
      </c>
      <c r="E23" s="4">
        <f>D23*7</f>
        <v>616</v>
      </c>
      <c r="F23" s="4">
        <f>23*C4</f>
        <v>20.239999999999998</v>
      </c>
      <c r="G23" s="12"/>
    </row>
    <row r="24" spans="1:17" ht="17" x14ac:dyDescent="0.2">
      <c r="B24" s="16" t="s">
        <v>392</v>
      </c>
      <c r="C24" s="340">
        <v>8.1854823894030371E-2</v>
      </c>
      <c r="D24" s="6">
        <f>C24*$D$23</f>
        <v>7.2032245026746722</v>
      </c>
      <c r="E24" s="1">
        <f>D24*7</f>
        <v>50.422571518722705</v>
      </c>
      <c r="G24" s="33">
        <f>'Price list REWE '!E21</f>
        <v>3.0944625407166124</v>
      </c>
      <c r="H24" s="31">
        <f t="shared" ref="H24:H31" si="1">G24/1000*D24</f>
        <v>2.2290108395898824E-2</v>
      </c>
      <c r="J24" s="42">
        <f>'Price list REWE '!H21</f>
        <v>3.0944625407166124</v>
      </c>
      <c r="K24" s="42">
        <f t="shared" ref="K24:K31" si="2">J24/1000*D24</f>
        <v>2.2290108395898824E-2</v>
      </c>
      <c r="M24" s="31">
        <f>'Price list ALDI Süd'!E21</f>
        <v>2.2475570032573291</v>
      </c>
      <c r="N24" s="31">
        <f t="shared" ref="N24:N31" si="3">M24/1000*D24</f>
        <v>1.6189657677021251E-2</v>
      </c>
      <c r="P24" s="42">
        <f>'Price list ALDI Süd'!H21</f>
        <v>2.2475570032573291</v>
      </c>
      <c r="Q24" s="42">
        <f t="shared" ref="Q24:Q31" si="4">P24/1000*D24</f>
        <v>1.6189657677021251E-2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5">C25*$D$23</f>
        <v>3.6811611427054132</v>
      </c>
      <c r="E25" s="1">
        <f t="shared" ref="E25:E31" si="6">D25*7</f>
        <v>25.768127998937892</v>
      </c>
      <c r="G25" s="33">
        <f>'Price list REWE '!E22</f>
        <v>2.875</v>
      </c>
      <c r="H25" s="31">
        <f t="shared" si="1"/>
        <v>1.0583338285278063E-2</v>
      </c>
      <c r="J25" s="42">
        <f>'Price list REWE '!H22</f>
        <v>5.98</v>
      </c>
      <c r="K25" s="42">
        <f t="shared" si="2"/>
        <v>2.2013343633378372E-2</v>
      </c>
      <c r="M25" s="31">
        <f>'Price list ALDI Süd'!E22</f>
        <v>2.875</v>
      </c>
      <c r="N25" s="31">
        <f t="shared" si="3"/>
        <v>1.0583338285278063E-2</v>
      </c>
      <c r="P25" s="42">
        <f>'Price list ALDI Süd'!H22</f>
        <v>11.96</v>
      </c>
      <c r="Q25" s="42">
        <f t="shared" si="4"/>
        <v>4.4026687266756744E-2</v>
      </c>
    </row>
    <row r="26" spans="1:17" ht="17" x14ac:dyDescent="0.2">
      <c r="B26" s="16" t="s">
        <v>51</v>
      </c>
      <c r="C26" s="340">
        <v>5.5140886754685689E-2</v>
      </c>
      <c r="D26" s="6">
        <f t="shared" si="5"/>
        <v>4.8523980344123405</v>
      </c>
      <c r="E26" s="1">
        <f t="shared" si="6"/>
        <v>33.966786240886385</v>
      </c>
      <c r="G26" s="33">
        <f>'Price list REWE '!E23</f>
        <v>1.76</v>
      </c>
      <c r="H26" s="31">
        <f t="shared" si="1"/>
        <v>8.5402205405657201E-3</v>
      </c>
      <c r="J26" s="42">
        <f>'Price list REWE '!H23</f>
        <v>3.32</v>
      </c>
      <c r="K26" s="42">
        <f t="shared" si="2"/>
        <v>1.6109961474248969E-2</v>
      </c>
      <c r="M26" s="31">
        <f>'Price list ALDI Süd'!E23</f>
        <v>1.99</v>
      </c>
      <c r="N26" s="31">
        <f t="shared" si="3"/>
        <v>9.6562720884805584E-3</v>
      </c>
      <c r="P26" s="42">
        <f>'Price list ALDI Süd'!H23</f>
        <v>3.32</v>
      </c>
      <c r="Q26" s="42">
        <f t="shared" si="4"/>
        <v>1.6109961474248969E-2</v>
      </c>
    </row>
    <row r="27" spans="1:17" ht="17" x14ac:dyDescent="0.2">
      <c r="B27" s="16" t="s">
        <v>394</v>
      </c>
      <c r="C27" s="340">
        <v>7.8411761271535096E-2</v>
      </c>
      <c r="D27" s="6">
        <f t="shared" si="5"/>
        <v>6.900234991895088</v>
      </c>
      <c r="E27" s="1">
        <f t="shared" si="6"/>
        <v>48.301644943265615</v>
      </c>
      <c r="G27" s="33">
        <f>'Price list REWE '!E24</f>
        <v>1.8349928876244666</v>
      </c>
      <c r="H27" s="31">
        <f t="shared" si="1"/>
        <v>1.2661882133064954E-2</v>
      </c>
      <c r="J27" s="42">
        <f>'Price list REWE '!H24</f>
        <v>3.8264580369843526</v>
      </c>
      <c r="K27" s="42">
        <f t="shared" si="2"/>
        <v>2.6403459641817621E-2</v>
      </c>
      <c r="M27" s="31">
        <f>'Price list ALDI Süd'!E24</f>
        <v>1.4082503556187767</v>
      </c>
      <c r="N27" s="31">
        <f t="shared" si="3"/>
        <v>9.7172583811893833E-3</v>
      </c>
      <c r="P27" s="42">
        <f>'Price list ALDI Süd'!H24</f>
        <v>3.8264580369843526</v>
      </c>
      <c r="Q27" s="42">
        <f t="shared" si="4"/>
        <v>2.6403459641817621E-2</v>
      </c>
    </row>
    <row r="28" spans="1:17" ht="17" x14ac:dyDescent="0.2">
      <c r="B28" s="16" t="s">
        <v>395</v>
      </c>
      <c r="C28" s="340">
        <v>0.10804527200358816</v>
      </c>
      <c r="D28" s="6">
        <f t="shared" si="5"/>
        <v>9.5079839363157568</v>
      </c>
      <c r="E28" s="1">
        <f t="shared" si="6"/>
        <v>66.555887554210301</v>
      </c>
      <c r="G28" s="33">
        <f>'Price list REWE '!E25</f>
        <v>6.2402088772845961</v>
      </c>
      <c r="H28" s="31">
        <f t="shared" si="1"/>
        <v>5.9331805764476928E-2</v>
      </c>
      <c r="J28" s="42">
        <f>'Price list REWE '!H25</f>
        <v>6.5013054830287214</v>
      </c>
      <c r="K28" s="42">
        <f t="shared" si="2"/>
        <v>6.181430809771863E-2</v>
      </c>
      <c r="M28" s="31">
        <f>'Price list ALDI Süd'!E25</f>
        <v>4.125</v>
      </c>
      <c r="N28" s="31">
        <f t="shared" si="3"/>
        <v>3.9220433737302496E-2</v>
      </c>
      <c r="P28" s="42">
        <f>'Price list ALDI Süd'!H25</f>
        <v>7.041666666666667</v>
      </c>
      <c r="Q28" s="42">
        <f t="shared" si="4"/>
        <v>6.6952053551556784E-2</v>
      </c>
    </row>
    <row r="29" spans="1:17" ht="17" x14ac:dyDescent="0.2">
      <c r="B29" s="16" t="s">
        <v>396</v>
      </c>
      <c r="C29" s="340">
        <v>0.24433687491347134</v>
      </c>
      <c r="D29" s="6">
        <f t="shared" si="5"/>
        <v>21.501644992385479</v>
      </c>
      <c r="E29" s="1">
        <f t="shared" si="6"/>
        <v>150.51151494669836</v>
      </c>
      <c r="G29" s="33">
        <f>'Price list REWE '!E26</f>
        <v>1.0745614035087721</v>
      </c>
      <c r="H29" s="31">
        <f t="shared" si="1"/>
        <v>2.3104837820765101E-2</v>
      </c>
      <c r="J29" s="42">
        <f>'Price list REWE '!H26</f>
        <v>3.2675438596491229</v>
      </c>
      <c r="K29" s="42">
        <f t="shared" si="2"/>
        <v>7.0257568067224482E-2</v>
      </c>
      <c r="M29" s="31">
        <f>'Price list ALDI Süd'!E26</f>
        <v>1.0745614035087721</v>
      </c>
      <c r="N29" s="31">
        <f t="shared" si="3"/>
        <v>2.3104837820765101E-2</v>
      </c>
      <c r="P29" s="42">
        <f>'Price list ALDI Süd'!H26</f>
        <v>1.2938596491228069</v>
      </c>
      <c r="Q29" s="42">
        <f t="shared" si="4"/>
        <v>2.7820110845411035E-2</v>
      </c>
    </row>
    <row r="30" spans="1:17" ht="17" x14ac:dyDescent="0.2">
      <c r="B30" s="16" t="s">
        <v>63</v>
      </c>
      <c r="C30" s="340">
        <v>0.19518950227051848</v>
      </c>
      <c r="D30" s="6">
        <f t="shared" si="5"/>
        <v>17.176676199805627</v>
      </c>
      <c r="E30" s="1">
        <f t="shared" si="6"/>
        <v>120.23673339863939</v>
      </c>
      <c r="G30" s="33">
        <f>'Price list REWE '!E27</f>
        <v>1.79</v>
      </c>
      <c r="H30" s="31">
        <f t="shared" si="1"/>
        <v>3.0746250397652074E-2</v>
      </c>
      <c r="J30" s="42">
        <f>'Price list REWE '!H27</f>
        <v>3.58</v>
      </c>
      <c r="K30" s="42">
        <f t="shared" si="2"/>
        <v>6.1492500795304147E-2</v>
      </c>
      <c r="M30" s="31">
        <f>'Price list ALDI Süd'!E27</f>
        <v>1.49</v>
      </c>
      <c r="N30" s="31">
        <f t="shared" si="3"/>
        <v>2.5593247537710383E-2</v>
      </c>
      <c r="P30" s="42">
        <f>'Price list ALDI Süd'!H27</f>
        <v>1.78</v>
      </c>
      <c r="Q30" s="42">
        <f t="shared" si="4"/>
        <v>3.0574483635654019E-2</v>
      </c>
    </row>
    <row r="31" spans="1:17" ht="17" x14ac:dyDescent="0.2">
      <c r="B31" s="16" t="s">
        <v>66</v>
      </c>
      <c r="C31" s="340">
        <v>0.19518950227051848</v>
      </c>
      <c r="D31" s="6">
        <f t="shared" si="5"/>
        <v>17.176676199805627</v>
      </c>
      <c r="E31" s="1">
        <f t="shared" si="6"/>
        <v>120.23673339863939</v>
      </c>
      <c r="G31" s="33">
        <f>'Price list REWE '!E28</f>
        <v>1.99</v>
      </c>
      <c r="H31" s="31">
        <f t="shared" si="1"/>
        <v>3.4181585637613199E-2</v>
      </c>
      <c r="J31" s="42">
        <f>'Price list REWE '!H28</f>
        <v>5.3</v>
      </c>
      <c r="K31" s="42">
        <f t="shared" si="2"/>
        <v>9.1036383858969824E-2</v>
      </c>
      <c r="M31" s="31">
        <f>'Price list ALDI Süd'!E28</f>
        <v>1.99</v>
      </c>
      <c r="N31" s="31">
        <f t="shared" si="3"/>
        <v>3.4181585637613199E-2</v>
      </c>
      <c r="P31" s="42">
        <f>'Price list ALDI Süd'!H28</f>
        <v>5.3</v>
      </c>
      <c r="Q31" s="42">
        <f t="shared" si="4"/>
        <v>9.1036383858969824E-2</v>
      </c>
    </row>
    <row r="32" spans="1:17" x14ac:dyDescent="0.2">
      <c r="A32" s="9">
        <v>8</v>
      </c>
      <c r="B32" s="16"/>
      <c r="C32" s="340"/>
      <c r="G32" s="33"/>
      <c r="H32" s="31"/>
      <c r="J32" s="42"/>
      <c r="K32" s="42"/>
      <c r="M32" s="31"/>
      <c r="N32" s="31"/>
      <c r="P32" s="42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88</v>
      </c>
      <c r="F33" s="4">
        <f>30*C4</f>
        <v>26.4</v>
      </c>
      <c r="G33" s="12"/>
    </row>
    <row r="34" spans="1:17" ht="17" x14ac:dyDescent="0.2">
      <c r="B34" s="23" t="s">
        <v>70</v>
      </c>
      <c r="C34" s="340">
        <v>0.21012979994107583</v>
      </c>
      <c r="D34" s="6">
        <f>C34*D33</f>
        <v>18.491422394814673</v>
      </c>
      <c r="E34" s="1">
        <f t="shared" ref="E34:E39" si="7">D34*7</f>
        <v>129.43995676370272</v>
      </c>
      <c r="G34" s="33">
        <f>'Price list REWE '!E31</f>
        <v>1.75</v>
      </c>
      <c r="H34" s="31">
        <f t="shared" ref="H34:H39" si="8">G34/1000*D34</f>
        <v>3.2359989190925677E-2</v>
      </c>
      <c r="J34" s="42">
        <f>'Price list REWE '!H31</f>
        <v>2.79</v>
      </c>
      <c r="K34" s="42">
        <f t="shared" ref="K34:K39" si="9">J34/1000*D34</f>
        <v>5.1591068481532935E-2</v>
      </c>
      <c r="M34" s="31">
        <f>'Price list ALDI Süd'!E31</f>
        <v>1.5</v>
      </c>
      <c r="N34" s="31">
        <f t="shared" ref="N34:N39" si="10">M34/1000*D34</f>
        <v>2.7737133592222012E-2</v>
      </c>
      <c r="P34" s="42">
        <f>'Price list ALDI Süd'!H31</f>
        <v>2.19</v>
      </c>
      <c r="Q34" s="42">
        <f t="shared" ref="Q34:Q39" si="11">P34/1000*D34</f>
        <v>4.0496215044644138E-2</v>
      </c>
    </row>
    <row r="35" spans="1:17" ht="17" x14ac:dyDescent="0.2">
      <c r="B35" s="16" t="s">
        <v>73</v>
      </c>
      <c r="C35" s="340">
        <v>0.19042830974833957</v>
      </c>
      <c r="D35" s="6">
        <f>C35*D33</f>
        <v>16.757691257853882</v>
      </c>
      <c r="E35" s="1">
        <f t="shared" si="7"/>
        <v>117.30383880497718</v>
      </c>
      <c r="G35" s="33">
        <f>'Price list REWE '!E32</f>
        <v>2.79</v>
      </c>
      <c r="H35" s="31">
        <f t="shared" si="8"/>
        <v>4.6753958609412331E-2</v>
      </c>
      <c r="J35" s="42">
        <f>'Price list REWE '!H32</f>
        <v>5.18</v>
      </c>
      <c r="K35" s="42">
        <f t="shared" si="9"/>
        <v>8.6804840715683104E-2</v>
      </c>
      <c r="M35" s="31">
        <f>'Price list ALDI Süd'!E32</f>
        <v>1.79</v>
      </c>
      <c r="N35" s="31">
        <f t="shared" si="10"/>
        <v>2.9996267351558449E-2</v>
      </c>
      <c r="P35" s="42">
        <f>'Price list ALDI Süd'!H32</f>
        <v>4.58</v>
      </c>
      <c r="Q35" s="42">
        <f t="shared" si="11"/>
        <v>7.675022596097078E-2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16.757691257853882</v>
      </c>
      <c r="E36" s="1">
        <f t="shared" si="7"/>
        <v>117.30383880497718</v>
      </c>
      <c r="G36" s="33">
        <f>'Price list REWE '!E33</f>
        <v>1.7</v>
      </c>
      <c r="H36" s="31">
        <f t="shared" si="8"/>
        <v>2.8488075138351596E-2</v>
      </c>
      <c r="J36" s="42">
        <f>'Price list REWE '!H33</f>
        <v>2.27</v>
      </c>
      <c r="K36" s="42">
        <f t="shared" si="9"/>
        <v>3.8039959155328311E-2</v>
      </c>
      <c r="M36" s="31">
        <f>'Price list ALDI Süd'!E33</f>
        <v>1.7</v>
      </c>
      <c r="N36" s="31">
        <f t="shared" si="10"/>
        <v>2.8488075138351596E-2</v>
      </c>
      <c r="P36" s="42">
        <f>'Price list ALDI Süd'!H33</f>
        <v>1.98</v>
      </c>
      <c r="Q36" s="42">
        <f t="shared" si="11"/>
        <v>3.3180228690550685E-2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16.757691257853882</v>
      </c>
      <c r="E37" s="1">
        <f t="shared" si="7"/>
        <v>117.30383880497718</v>
      </c>
      <c r="G37" s="33">
        <f>'Price list REWE '!E34</f>
        <v>2.125</v>
      </c>
      <c r="H37" s="31">
        <f t="shared" si="8"/>
        <v>3.5610093922939498E-2</v>
      </c>
      <c r="J37" s="42">
        <f>'Price list REWE '!H34</f>
        <v>2.4750000000000001</v>
      </c>
      <c r="K37" s="42">
        <f t="shared" si="9"/>
        <v>4.1475285863188362E-2</v>
      </c>
      <c r="M37" s="31">
        <f>'Price list ALDI Süd'!E34</f>
        <v>2</v>
      </c>
      <c r="N37" s="31">
        <f t="shared" si="10"/>
        <v>3.3515382515707764E-2</v>
      </c>
      <c r="P37" s="42">
        <f>'Price list ALDI Süd'!H34</f>
        <v>2.4750000000000001</v>
      </c>
      <c r="Q37" s="42">
        <f t="shared" si="11"/>
        <v>4.1475285863188362E-2</v>
      </c>
    </row>
    <row r="38" spans="1:17" ht="17" x14ac:dyDescent="0.2">
      <c r="B38" s="16" t="s">
        <v>82</v>
      </c>
      <c r="C38" s="340">
        <v>0.10929263540695267</v>
      </c>
      <c r="D38" s="6">
        <f t="shared" si="12"/>
        <v>9.6177519158118336</v>
      </c>
      <c r="E38" s="1">
        <f t="shared" si="7"/>
        <v>67.324263410682832</v>
      </c>
      <c r="G38" s="33">
        <f>'Price list REWE '!E35</f>
        <v>3.98</v>
      </c>
      <c r="H38" s="31">
        <f t="shared" si="8"/>
        <v>3.8278652624931096E-2</v>
      </c>
      <c r="J38" s="42">
        <f>'Price list REWE '!H35</f>
        <v>6.99</v>
      </c>
      <c r="K38" s="42">
        <f t="shared" si="9"/>
        <v>6.7228085891524722E-2</v>
      </c>
      <c r="M38" s="31">
        <f>'Price list ALDI Süd'!E35</f>
        <v>3.79</v>
      </c>
      <c r="N38" s="31">
        <f t="shared" si="10"/>
        <v>3.6451279760926852E-2</v>
      </c>
      <c r="P38" s="42">
        <f>'Price list ALDI Süd'!H35</f>
        <v>4.4800000000000004</v>
      </c>
      <c r="Q38" s="42">
        <f t="shared" si="11"/>
        <v>4.3087528582837022E-2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9.6177519158118336</v>
      </c>
      <c r="E39" s="1">
        <f t="shared" si="7"/>
        <v>67.324263410682832</v>
      </c>
      <c r="G39" s="76">
        <f>'Price list REWE '!E36</f>
        <v>2.9289940828402368</v>
      </c>
      <c r="H39" s="31">
        <f t="shared" si="8"/>
        <v>2.8170338451638213E-2</v>
      </c>
      <c r="J39" s="42">
        <f>'Price list REWE '!H36</f>
        <v>3.8165680473372783</v>
      </c>
      <c r="K39" s="42">
        <f t="shared" si="9"/>
        <v>3.6706804649104335E-2</v>
      </c>
      <c r="M39" s="31">
        <f>'Price list ALDI Süd'!E36</f>
        <v>2.3372781065088759</v>
      </c>
      <c r="N39" s="31">
        <f t="shared" si="10"/>
        <v>2.2479360986660795E-2</v>
      </c>
      <c r="P39" s="42">
        <f>'Price list ALDI Süd'!H36</f>
        <v>3.8165680473372783</v>
      </c>
      <c r="Q39" s="42">
        <f t="shared" si="11"/>
        <v>3.6706804649104335E-2</v>
      </c>
    </row>
    <row r="40" spans="1:17" x14ac:dyDescent="0.2">
      <c r="A40" s="9">
        <v>6</v>
      </c>
      <c r="C40" s="340"/>
      <c r="D40" s="6"/>
      <c r="G40" s="35"/>
      <c r="H40" s="31"/>
      <c r="J40" s="42"/>
      <c r="K40" s="42"/>
      <c r="M40" s="31"/>
      <c r="N40" s="31"/>
      <c r="P40" s="42"/>
      <c r="Q40" s="42"/>
    </row>
    <row r="41" spans="1:17" s="4" customFormat="1" ht="17" x14ac:dyDescent="0.2">
      <c r="A41" s="12"/>
      <c r="B41" s="186" t="s">
        <v>88</v>
      </c>
      <c r="C41" s="341"/>
      <c r="D41" s="29">
        <f>100*C4</f>
        <v>88</v>
      </c>
      <c r="F41" s="4">
        <f>25*C4</f>
        <v>22</v>
      </c>
      <c r="G41" s="12"/>
    </row>
    <row r="42" spans="1:17" ht="17" x14ac:dyDescent="0.2">
      <c r="B42" s="16" t="s">
        <v>89</v>
      </c>
      <c r="C42" s="340">
        <v>0.24393305975418372</v>
      </c>
      <c r="D42" s="1">
        <f>C42*$D$41</f>
        <v>21.466109258368167</v>
      </c>
      <c r="E42" s="1">
        <f>D42*7</f>
        <v>150.26276480857717</v>
      </c>
      <c r="G42" s="33">
        <f>'Price list REWE '!E39</f>
        <v>1.49</v>
      </c>
      <c r="H42" s="31">
        <f>G42/1000*D42</f>
        <v>3.1984502794968568E-2</v>
      </c>
      <c r="J42" s="42">
        <f>'Price list REWE '!H39</f>
        <v>1.49</v>
      </c>
      <c r="K42" s="42">
        <f>J42/1000*D42</f>
        <v>3.1984502794968568E-2</v>
      </c>
      <c r="M42" s="31">
        <f>'Price list ALDI Süd'!E39</f>
        <v>1.49</v>
      </c>
      <c r="N42" s="31">
        <f>M42/1000*D42</f>
        <v>3.1984502794968568E-2</v>
      </c>
      <c r="P42" s="42">
        <f>'Price list ALDI Süd'!H39</f>
        <v>1.49</v>
      </c>
      <c r="Q42" s="42">
        <f>P42/1000*D42</f>
        <v>3.1984502794968568E-2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9.3546694943495616</v>
      </c>
      <c r="E43" s="1">
        <f>D43*7</f>
        <v>65.482686460446928</v>
      </c>
      <c r="G43" s="31">
        <f>'Price list REWE '!E40</f>
        <v>1.99</v>
      </c>
      <c r="H43" s="31">
        <f>G43/1000*D43</f>
        <v>1.8615792293755627E-2</v>
      </c>
      <c r="J43" s="42">
        <f>'Price list REWE '!H40</f>
        <v>7.3</v>
      </c>
      <c r="K43" s="42">
        <f>J43/1000*D43</f>
        <v>6.82890873087518E-2</v>
      </c>
      <c r="M43" s="31">
        <f>'Price list ALDI Süd'!E40</f>
        <v>1.99</v>
      </c>
      <c r="N43" s="31">
        <f>M43/1000*D43</f>
        <v>1.8615792293755627E-2</v>
      </c>
      <c r="P43" s="42">
        <f>'Price list ALDI Süd'!H40</f>
        <v>3.32</v>
      </c>
      <c r="Q43" s="42">
        <f>P43/1000*D43</f>
        <v>3.1057502721240544E-2</v>
      </c>
    </row>
    <row r="44" spans="1:17" ht="17" x14ac:dyDescent="0.2">
      <c r="B44" s="16" t="s">
        <v>94</v>
      </c>
      <c r="C44" s="87">
        <v>0.46774770023805184</v>
      </c>
      <c r="D44" s="1">
        <f t="shared" si="13"/>
        <v>41.161797620948562</v>
      </c>
      <c r="E44" s="1">
        <f>D44*7</f>
        <v>288.13258334663993</v>
      </c>
      <c r="G44" s="33">
        <f>'Price list REWE '!E41</f>
        <v>1.79</v>
      </c>
      <c r="H44" s="31">
        <f>G44/1000*D44</f>
        <v>7.3679617741497935E-2</v>
      </c>
      <c r="J44" s="42">
        <f>'Price list REWE '!H41</f>
        <v>3.05</v>
      </c>
      <c r="K44" s="42">
        <f>J44/1000*D44</f>
        <v>0.1255434827438931</v>
      </c>
      <c r="M44" s="31">
        <f>'Price list ALDI Süd'!E41</f>
        <v>1.99</v>
      </c>
      <c r="N44" s="31">
        <f>M44/1000*D44</f>
        <v>8.1911977265687635E-2</v>
      </c>
      <c r="P44" s="42">
        <f>'Price list ALDI Süd'!H41</f>
        <v>1.99</v>
      </c>
      <c r="Q44" s="42">
        <f>P44/1000*D44</f>
        <v>8.1911977265687635E-2</v>
      </c>
    </row>
    <row r="45" spans="1:17" ht="17" x14ac:dyDescent="0.2">
      <c r="B45" s="16" t="s">
        <v>398</v>
      </c>
      <c r="C45" s="87">
        <v>0.10260798307610458</v>
      </c>
      <c r="D45" s="1">
        <f t="shared" si="13"/>
        <v>9.0295025106972027</v>
      </c>
      <c r="E45" s="1">
        <f>D45*7</f>
        <v>63.206517574880422</v>
      </c>
      <c r="G45" s="33">
        <f>'Price list REWE '!E42</f>
        <v>6.99</v>
      </c>
      <c r="H45" s="31">
        <f>G45/1000*D45</f>
        <v>6.3116222549773449E-2</v>
      </c>
      <c r="J45" s="42">
        <f>'Price list REWE '!H42</f>
        <v>9.9600000000000009</v>
      </c>
      <c r="K45" s="42">
        <f>J45/1000*D45</f>
        <v>8.9933845006544139E-2</v>
      </c>
      <c r="M45" s="31">
        <f>'Price list ALDI Süd'!E42</f>
        <v>4.9800000000000004</v>
      </c>
      <c r="N45" s="31">
        <f>M45/1000*D45</f>
        <v>4.4966922503272069E-2</v>
      </c>
      <c r="P45" s="42">
        <f>'Price list ALDI Süd'!H42</f>
        <v>7.16</v>
      </c>
      <c r="Q45" s="42">
        <f>P45/1000*D45</f>
        <v>6.4651237976591974E-2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6.9879211156365111</v>
      </c>
      <c r="E46" s="1">
        <f>D46*7</f>
        <v>48.915447809455578</v>
      </c>
      <c r="G46" s="33">
        <f>'Price list REWE '!E43</f>
        <v>10</v>
      </c>
      <c r="H46" s="31">
        <f>G46/1000*D46</f>
        <v>6.9879211156365112E-2</v>
      </c>
      <c r="J46" s="42">
        <f>'Price list REWE '!H43</f>
        <v>10</v>
      </c>
      <c r="K46" s="42">
        <f>J46/1000*D46</f>
        <v>6.9879211156365112E-2</v>
      </c>
      <c r="M46" s="31">
        <f>'Price list ALDI Süd'!E43</f>
        <v>9.9</v>
      </c>
      <c r="N46" s="31">
        <f>M46/1000*D46</f>
        <v>6.9180419044801461E-2</v>
      </c>
      <c r="P46" s="42">
        <f>'Price list ALDI Süd'!H43</f>
        <v>9.9</v>
      </c>
      <c r="Q46" s="42">
        <f>P46/1000*D46</f>
        <v>6.9180419044801461E-2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176</v>
      </c>
      <c r="E48" s="4">
        <f>D48*$E$10</f>
        <v>1232</v>
      </c>
      <c r="F48" s="4">
        <f>126*C4</f>
        <v>110.88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79.140204944275339</v>
      </c>
      <c r="E49" s="1">
        <f t="shared" ref="E49:E58" si="14">D49*$E$10</f>
        <v>553.98143460992742</v>
      </c>
      <c r="G49" s="58">
        <f>'Price list REWE '!E46</f>
        <v>1.19</v>
      </c>
      <c r="H49" s="31">
        <f t="shared" ref="H49:H58" si="15">G49/1000*D49</f>
        <v>9.4176843883687647E-2</v>
      </c>
      <c r="J49" s="42">
        <f>'Price list REWE '!H46</f>
        <v>2.99</v>
      </c>
      <c r="K49" s="42">
        <f t="shared" ref="K49:K58" si="16">J49/1000*D49</f>
        <v>0.23662921278338328</v>
      </c>
      <c r="M49" s="31">
        <f>'Price list ALDI Süd'!E46</f>
        <v>0.94499999999999995</v>
      </c>
      <c r="N49" s="31">
        <f t="shared" ref="N49:N58" si="17">M49/1000*D49</f>
        <v>7.4787493672340194E-2</v>
      </c>
      <c r="P49" s="42">
        <f>'Price list ALDI Süd'!H46</f>
        <v>1.92</v>
      </c>
      <c r="Q49" s="42">
        <f t="shared" ref="Q49:Q58" si="18">P49/1000*D49</f>
        <v>0.15194919349300864</v>
      </c>
    </row>
    <row r="50" spans="1:17" ht="17" x14ac:dyDescent="0.2">
      <c r="B50" s="26" t="s">
        <v>106</v>
      </c>
      <c r="C50" s="342">
        <v>4.5787970295011769E-2</v>
      </c>
      <c r="D50" s="1">
        <f t="shared" ref="D50:D58" si="19">C50*$D$48</f>
        <v>8.0586827719220722</v>
      </c>
      <c r="E50" s="1">
        <f t="shared" si="14"/>
        <v>56.410779403454505</v>
      </c>
      <c r="G50" s="58">
        <f>'Price list REWE '!E47</f>
        <v>1.79</v>
      </c>
      <c r="H50" s="31">
        <f t="shared" si="15"/>
        <v>1.4425042161740511E-2</v>
      </c>
      <c r="J50" s="42">
        <f>'Price list REWE '!H47</f>
        <v>3.65</v>
      </c>
      <c r="K50" s="42">
        <f t="shared" si="16"/>
        <v>2.9414192117515562E-2</v>
      </c>
      <c r="M50" s="31">
        <f>'Price list ALDI Süd'!E47</f>
        <v>1.79</v>
      </c>
      <c r="N50" s="31">
        <f t="shared" si="17"/>
        <v>1.4425042161740511E-2</v>
      </c>
      <c r="P50" s="42">
        <f>'Price list ALDI Süd'!H47</f>
        <v>3.65</v>
      </c>
      <c r="Q50" s="42">
        <f t="shared" si="18"/>
        <v>2.9414192117515562E-2</v>
      </c>
    </row>
    <row r="51" spans="1:17" ht="17" x14ac:dyDescent="0.2">
      <c r="B51" s="26" t="s">
        <v>109</v>
      </c>
      <c r="C51" s="342">
        <v>2.019481503339627E-2</v>
      </c>
      <c r="D51" s="1">
        <f t="shared" si="19"/>
        <v>3.5542874458777436</v>
      </c>
      <c r="E51" s="1">
        <f t="shared" si="14"/>
        <v>24.880012121144205</v>
      </c>
      <c r="G51" s="58">
        <f>'Price list REWE '!E48</f>
        <v>4.99</v>
      </c>
      <c r="H51" s="31">
        <f t="shared" si="15"/>
        <v>1.7735894354929942E-2</v>
      </c>
      <c r="J51" s="42">
        <f>'Price list REWE '!H48</f>
        <v>4.99</v>
      </c>
      <c r="K51" s="42">
        <f t="shared" si="16"/>
        <v>1.7735894354929942E-2</v>
      </c>
      <c r="M51" s="31">
        <f>'Price list ALDI Süd'!E48</f>
        <v>3.98</v>
      </c>
      <c r="N51" s="31">
        <f t="shared" si="17"/>
        <v>1.414606403459342E-2</v>
      </c>
      <c r="P51" s="42">
        <f>'Price list ALDI Süd'!H48</f>
        <v>3.98</v>
      </c>
      <c r="Q51" s="42">
        <f t="shared" si="18"/>
        <v>1.414606403459342E-2</v>
      </c>
    </row>
    <row r="52" spans="1:17" ht="17" x14ac:dyDescent="0.2">
      <c r="B52" s="26" t="s">
        <v>111</v>
      </c>
      <c r="C52" s="342">
        <v>2.0560497203855613E-2</v>
      </c>
      <c r="D52" s="1">
        <f t="shared" si="19"/>
        <v>3.6186475078785878</v>
      </c>
      <c r="E52" s="1">
        <f t="shared" si="14"/>
        <v>25.330532555150114</v>
      </c>
      <c r="G52" s="58">
        <f>'Price list REWE '!E49</f>
        <v>7.98</v>
      </c>
      <c r="H52" s="31">
        <f t="shared" si="15"/>
        <v>2.8876807112871133E-2</v>
      </c>
      <c r="J52" s="42">
        <f>'Price list REWE '!H49</f>
        <v>10.63</v>
      </c>
      <c r="K52" s="42">
        <f t="shared" si="16"/>
        <v>3.8466223008749391E-2</v>
      </c>
      <c r="M52" s="31">
        <f>'Price list ALDI Süd'!E49</f>
        <v>7.98</v>
      </c>
      <c r="N52" s="31">
        <f t="shared" si="17"/>
        <v>2.8876807112871133E-2</v>
      </c>
      <c r="P52" s="42">
        <f>'Price list ALDI Süd'!H49</f>
        <v>9.9700000000000006</v>
      </c>
      <c r="Q52" s="42">
        <f t="shared" si="18"/>
        <v>3.6077915653549522E-2</v>
      </c>
    </row>
    <row r="53" spans="1:17" ht="17" x14ac:dyDescent="0.2">
      <c r="B53" s="26" t="s">
        <v>114</v>
      </c>
      <c r="C53" s="342">
        <v>1.772181875645604E-2</v>
      </c>
      <c r="D53" s="1">
        <f t="shared" si="19"/>
        <v>3.119040101136263</v>
      </c>
      <c r="E53" s="1">
        <f t="shared" si="14"/>
        <v>21.83328070795384</v>
      </c>
      <c r="G53" s="58">
        <f>'Price list REWE '!E50</f>
        <v>5.98</v>
      </c>
      <c r="H53" s="31">
        <f t="shared" si="15"/>
        <v>1.8651859804794852E-2</v>
      </c>
      <c r="J53" s="42">
        <f>'Price list REWE '!H50</f>
        <v>10.63</v>
      </c>
      <c r="K53" s="42">
        <f t="shared" si="16"/>
        <v>3.3155396275078478E-2</v>
      </c>
      <c r="M53" s="31">
        <f>'Price list ALDI Süd'!E50</f>
        <v>5.98</v>
      </c>
      <c r="N53" s="31">
        <f t="shared" si="17"/>
        <v>1.8651859804794852E-2</v>
      </c>
      <c r="P53" s="42">
        <f>'Price list ALDI Süd'!H50</f>
        <v>9.9700000000000006</v>
      </c>
      <c r="Q53" s="42">
        <f t="shared" si="18"/>
        <v>3.1096829808328546E-2</v>
      </c>
    </row>
    <row r="54" spans="1:17" ht="17" x14ac:dyDescent="0.2">
      <c r="B54" s="26" t="s">
        <v>117</v>
      </c>
      <c r="C54" s="342">
        <v>7.018785236884495E-2</v>
      </c>
      <c r="D54" s="1">
        <f t="shared" si="19"/>
        <v>12.353062016916711</v>
      </c>
      <c r="E54" s="1">
        <f t="shared" si="14"/>
        <v>86.47143411841698</v>
      </c>
      <c r="G54" s="58">
        <f>'Price list REWE '!E51</f>
        <v>5.58</v>
      </c>
      <c r="H54" s="31">
        <f t="shared" si="15"/>
        <v>6.893008605439524E-2</v>
      </c>
      <c r="J54" s="42">
        <f>'Price list REWE '!H51</f>
        <v>5.58</v>
      </c>
      <c r="K54" s="42">
        <f t="shared" si="16"/>
        <v>6.893008605439524E-2</v>
      </c>
      <c r="M54" s="31">
        <f>'Price list ALDI Süd'!E51</f>
        <v>3.99</v>
      </c>
      <c r="N54" s="31">
        <f t="shared" si="17"/>
        <v>4.9288717447497681E-2</v>
      </c>
      <c r="P54" s="42">
        <f>'Price list ALDI Süd'!H51</f>
        <v>9.9700000000000006</v>
      </c>
      <c r="Q54" s="42">
        <f t="shared" si="18"/>
        <v>0.12316002830865963</v>
      </c>
    </row>
    <row r="55" spans="1:17" ht="17" x14ac:dyDescent="0.2">
      <c r="B55" s="26" t="s">
        <v>119</v>
      </c>
      <c r="C55" s="342">
        <v>9.5944736748873077E-2</v>
      </c>
      <c r="D55" s="1">
        <f t="shared" si="19"/>
        <v>16.88627366780166</v>
      </c>
      <c r="E55" s="1">
        <f t="shared" si="14"/>
        <v>118.20391567461162</v>
      </c>
      <c r="G55" s="58">
        <f>'Price list REWE '!E52</f>
        <v>3.58</v>
      </c>
      <c r="H55" s="31">
        <f t="shared" si="15"/>
        <v>6.0452859730729946E-2</v>
      </c>
      <c r="J55" s="42">
        <f>'Price list REWE '!H52</f>
        <v>3.58</v>
      </c>
      <c r="K55" s="42">
        <f t="shared" si="16"/>
        <v>6.0452859730729946E-2</v>
      </c>
      <c r="M55" s="31">
        <f>'Price list ALDI Süd'!E52</f>
        <v>3.38</v>
      </c>
      <c r="N55" s="31">
        <f t="shared" si="17"/>
        <v>5.7075604997169606E-2</v>
      </c>
      <c r="P55" s="42">
        <f>'Price list ALDI Süd'!H52</f>
        <v>3.38</v>
      </c>
      <c r="Q55" s="42">
        <f t="shared" si="18"/>
        <v>5.7075604997169606E-2</v>
      </c>
    </row>
    <row r="56" spans="1:17" ht="17" x14ac:dyDescent="0.2">
      <c r="B56" s="26" t="s">
        <v>121</v>
      </c>
      <c r="C56" s="342">
        <v>0.21388130862220195</v>
      </c>
      <c r="D56" s="1">
        <f t="shared" si="19"/>
        <v>37.643110317507542</v>
      </c>
      <c r="E56" s="1">
        <f t="shared" si="14"/>
        <v>263.5017722225528</v>
      </c>
      <c r="G56" s="58">
        <f>'Price list REWE '!E53</f>
        <v>1.29</v>
      </c>
      <c r="H56" s="31">
        <f t="shared" si="15"/>
        <v>4.8559612309584735E-2</v>
      </c>
      <c r="J56" s="42">
        <f>'Price list REWE '!H53</f>
        <v>1.99</v>
      </c>
      <c r="K56" s="42">
        <f t="shared" si="16"/>
        <v>7.4909789531840007E-2</v>
      </c>
      <c r="M56" s="31">
        <f>'Price list ALDI Süd'!E53</f>
        <v>1.29</v>
      </c>
      <c r="N56" s="31">
        <f t="shared" si="17"/>
        <v>4.8559612309584735E-2</v>
      </c>
      <c r="P56" s="42">
        <f>'Price list ALDI Süd'!H53</f>
        <v>1.99</v>
      </c>
      <c r="Q56" s="42">
        <f t="shared" si="18"/>
        <v>7.4909789531840007E-2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2.0602346663123461</v>
      </c>
      <c r="E57" s="1">
        <f t="shared" si="14"/>
        <v>14.421642664186422</v>
      </c>
      <c r="G57" s="31">
        <f>'Price list REWE '!E54</f>
        <v>5.98</v>
      </c>
      <c r="H57" s="31">
        <f t="shared" si="15"/>
        <v>1.232020330454783E-2</v>
      </c>
      <c r="J57" s="42">
        <f>'Price list REWE '!H54</f>
        <v>5.98</v>
      </c>
      <c r="K57" s="42">
        <f t="shared" si="16"/>
        <v>1.232020330454783E-2</v>
      </c>
      <c r="M57" s="31">
        <f>'Price list ALDI Süd'!E54</f>
        <v>3.98</v>
      </c>
      <c r="N57" s="31">
        <f t="shared" si="17"/>
        <v>8.1997339719231382E-3</v>
      </c>
      <c r="P57" s="42">
        <f>'Price list ALDI Süd'!H54</f>
        <v>3.98</v>
      </c>
      <c r="Q57" s="42">
        <f t="shared" si="18"/>
        <v>8.1997339719231382E-3</v>
      </c>
    </row>
    <row r="58" spans="1:17" ht="17" x14ac:dyDescent="0.2">
      <c r="B58" s="26" t="s">
        <v>126</v>
      </c>
      <c r="C58" s="87">
        <v>5.4354866820293855E-2</v>
      </c>
      <c r="D58" s="1">
        <f t="shared" si="19"/>
        <v>9.5664565603717193</v>
      </c>
      <c r="E58" s="1">
        <f t="shared" si="14"/>
        <v>66.965195922602035</v>
      </c>
      <c r="G58" s="31">
        <f>'Price list REWE '!E55</f>
        <v>4.9800000000000004</v>
      </c>
      <c r="H58" s="31">
        <f t="shared" si="15"/>
        <v>4.7640953670651159E-2</v>
      </c>
      <c r="J58" s="42">
        <f>'Price list REWE '!H55</f>
        <v>4.9800000000000004</v>
      </c>
      <c r="K58" s="42">
        <f t="shared" si="16"/>
        <v>4.7640953670651159E-2</v>
      </c>
      <c r="M58" s="31">
        <f>'Price list ALDI Süd'!E55</f>
        <v>3.98</v>
      </c>
      <c r="N58" s="31">
        <f t="shared" si="17"/>
        <v>3.8074497110279444E-2</v>
      </c>
      <c r="P58" s="42">
        <f>'Price list ALDI Süd'!H55</f>
        <v>3.98</v>
      </c>
      <c r="Q58" s="42">
        <f t="shared" si="18"/>
        <v>3.8074497110279444E-2</v>
      </c>
    </row>
    <row r="59" spans="1:17" x14ac:dyDescent="0.2">
      <c r="A59" s="9">
        <v>10</v>
      </c>
      <c r="B59" s="26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220</v>
      </c>
      <c r="E60" s="4">
        <f>D60*$E$10</f>
        <v>1540</v>
      </c>
      <c r="F60" s="4">
        <f>153*C4</f>
        <v>134.64000000000001</v>
      </c>
    </row>
    <row r="61" spans="1:17" ht="17" x14ac:dyDescent="0.2">
      <c r="B61" s="1" t="s">
        <v>129</v>
      </c>
      <c r="D61" s="1">
        <f>100*C4</f>
        <v>88</v>
      </c>
      <c r="E61" s="1">
        <f t="shared" ref="E61:E69" si="20">D61*$E$10</f>
        <v>616</v>
      </c>
      <c r="G61" s="31">
        <f>'Price list REWE '!E58</f>
        <v>1.05</v>
      </c>
      <c r="H61" s="31">
        <f t="shared" ref="H61:H69" si="21">G61/1000*D61</f>
        <v>9.240000000000001E-2</v>
      </c>
      <c r="J61" s="42">
        <f>'Price list REWE '!H58</f>
        <v>1.25</v>
      </c>
      <c r="K61" s="42">
        <f t="shared" ref="K61:K69" si="22">J61/1000*D61</f>
        <v>0.11</v>
      </c>
      <c r="M61" s="31">
        <f>'Price list ALDI Süd'!E58</f>
        <v>1.05</v>
      </c>
      <c r="N61" s="31">
        <f t="shared" ref="N61:N69" si="23">M61/1000*D61</f>
        <v>9.240000000000001E-2</v>
      </c>
      <c r="P61" s="42">
        <f>'Price list ALDI Süd'!H58</f>
        <v>1.25</v>
      </c>
      <c r="Q61" s="42">
        <f t="shared" ref="Q61:Q69" si="24">P61/1000*D61</f>
        <v>0.11</v>
      </c>
    </row>
    <row r="62" spans="1:17" ht="17" x14ac:dyDescent="0.2">
      <c r="B62" s="1" t="s">
        <v>132</v>
      </c>
      <c r="D62" s="1">
        <f>80*C4</f>
        <v>70.400000000000006</v>
      </c>
      <c r="E62" s="1">
        <f t="shared" si="20"/>
        <v>492.80000000000007</v>
      </c>
      <c r="G62" s="31">
        <f>'Price list REWE '!E59</f>
        <v>1.7</v>
      </c>
      <c r="H62" s="31">
        <f t="shared" si="21"/>
        <v>0.11968000000000001</v>
      </c>
      <c r="J62" s="42">
        <f>'Price list REWE '!H59</f>
        <v>2.38</v>
      </c>
      <c r="K62" s="42">
        <f t="shared" si="22"/>
        <v>0.16755200000000001</v>
      </c>
      <c r="M62" s="31">
        <f>'Price list ALDI Süd'!E59</f>
        <v>1.7</v>
      </c>
      <c r="N62" s="31">
        <f t="shared" si="23"/>
        <v>0.11968000000000001</v>
      </c>
      <c r="P62" s="42">
        <f>'Price list ALDI Süd'!H59</f>
        <v>2.38</v>
      </c>
      <c r="Q62" s="42">
        <f t="shared" si="24"/>
        <v>0.16755200000000001</v>
      </c>
    </row>
    <row r="63" spans="1:17" ht="17" x14ac:dyDescent="0.2">
      <c r="B63" s="1" t="s">
        <v>135</v>
      </c>
      <c r="D63" s="1">
        <f>10*C4</f>
        <v>8.8000000000000007</v>
      </c>
      <c r="E63" s="1">
        <f t="shared" si="20"/>
        <v>61.600000000000009</v>
      </c>
      <c r="G63" s="31">
        <f>'Price list REWE '!E60</f>
        <v>4.63</v>
      </c>
      <c r="H63" s="31">
        <f t="shared" si="21"/>
        <v>4.0744000000000002E-2</v>
      </c>
      <c r="J63" s="42">
        <f>'Price list REWE '!H60</f>
        <v>7.37</v>
      </c>
      <c r="K63" s="42">
        <f t="shared" si="22"/>
        <v>6.4855999999999997E-2</v>
      </c>
      <c r="M63" s="31">
        <f>'Price list ALDI Süd'!E60</f>
        <v>4.63</v>
      </c>
      <c r="N63" s="31">
        <f t="shared" si="23"/>
        <v>4.0744000000000002E-2</v>
      </c>
      <c r="P63" s="42">
        <f>'Price list ALDI Süd'!H60</f>
        <v>7.37</v>
      </c>
      <c r="Q63" s="42">
        <f t="shared" si="24"/>
        <v>6.4855999999999997E-2</v>
      </c>
    </row>
    <row r="64" spans="1:17" ht="17" x14ac:dyDescent="0.2">
      <c r="B64" s="1" t="s">
        <v>138</v>
      </c>
      <c r="D64" s="1">
        <f>10*C4</f>
        <v>8.8000000000000007</v>
      </c>
      <c r="E64" s="1">
        <f t="shared" si="20"/>
        <v>61.600000000000009</v>
      </c>
      <c r="G64" s="31">
        <f>'Price list REWE '!E61</f>
        <v>2.98</v>
      </c>
      <c r="H64" s="31">
        <f t="shared" si="21"/>
        <v>2.6224000000000001E-2</v>
      </c>
      <c r="J64" s="42">
        <f>'Price list REWE '!H61</f>
        <v>4.2</v>
      </c>
      <c r="K64" s="42">
        <f t="shared" si="22"/>
        <v>3.6960000000000007E-2</v>
      </c>
      <c r="M64" s="31">
        <f>'Price list ALDI Süd'!E61</f>
        <v>2.8</v>
      </c>
      <c r="N64" s="31">
        <f t="shared" si="23"/>
        <v>2.4640000000000002E-2</v>
      </c>
      <c r="P64" s="42">
        <f>'Price list ALDI Süd'!H61</f>
        <v>4.2</v>
      </c>
      <c r="Q64" s="42">
        <f t="shared" si="24"/>
        <v>3.6960000000000007E-2</v>
      </c>
    </row>
    <row r="65" spans="1:17" ht="17" x14ac:dyDescent="0.2">
      <c r="B65" s="1" t="s">
        <v>141</v>
      </c>
      <c r="D65" s="1">
        <f>10*C4</f>
        <v>8.8000000000000007</v>
      </c>
      <c r="E65" s="1">
        <f t="shared" si="20"/>
        <v>61.600000000000009</v>
      </c>
      <c r="G65" s="31">
        <f>'Price list REWE '!E62</f>
        <v>7.92</v>
      </c>
      <c r="H65" s="31">
        <f t="shared" si="21"/>
        <v>6.9696000000000008E-2</v>
      </c>
      <c r="J65" s="42">
        <f>'Price list REWE '!H62</f>
        <v>10.32</v>
      </c>
      <c r="K65" s="42">
        <f t="shared" si="22"/>
        <v>9.0816000000000022E-2</v>
      </c>
      <c r="M65" s="31">
        <f>'Price list ALDI Süd'!E62</f>
        <v>7.92</v>
      </c>
      <c r="N65" s="31">
        <f t="shared" si="23"/>
        <v>6.9696000000000008E-2</v>
      </c>
      <c r="P65" s="42">
        <f>'Price list ALDI Süd'!H62</f>
        <v>10.32</v>
      </c>
      <c r="Q65" s="42">
        <f t="shared" si="24"/>
        <v>9.0816000000000022E-2</v>
      </c>
    </row>
    <row r="66" spans="1:17" ht="17" x14ac:dyDescent="0.2">
      <c r="B66" s="1" t="s">
        <v>144</v>
      </c>
      <c r="D66" s="1">
        <f>10*C4</f>
        <v>8.8000000000000007</v>
      </c>
      <c r="E66" s="1">
        <f t="shared" si="20"/>
        <v>61.600000000000009</v>
      </c>
      <c r="G66" s="31">
        <f>'Price list REWE '!E63</f>
        <v>3.45</v>
      </c>
      <c r="H66" s="31">
        <f t="shared" si="21"/>
        <v>3.0360000000000005E-2</v>
      </c>
      <c r="J66" s="42">
        <f>'Price list REWE '!H63</f>
        <v>4.45</v>
      </c>
      <c r="K66" s="42">
        <f t="shared" si="22"/>
        <v>3.916E-2</v>
      </c>
      <c r="M66" s="31">
        <f>'Price list ALDI Süd'!E63</f>
        <v>3.45</v>
      </c>
      <c r="N66" s="31">
        <f t="shared" si="23"/>
        <v>3.0360000000000005E-2</v>
      </c>
      <c r="P66" s="42">
        <f>'Price list ALDI Süd'!H63</f>
        <v>4.25</v>
      </c>
      <c r="Q66" s="42">
        <f t="shared" si="24"/>
        <v>3.7400000000000003E-2</v>
      </c>
    </row>
    <row r="67" spans="1:17" ht="21" customHeight="1" x14ac:dyDescent="0.2">
      <c r="B67" s="1" t="s">
        <v>401</v>
      </c>
      <c r="D67" s="1">
        <f>10*C4</f>
        <v>8.8000000000000007</v>
      </c>
      <c r="E67" s="1">
        <f t="shared" si="20"/>
        <v>61.600000000000009</v>
      </c>
      <c r="G67" s="31">
        <f>'Price list REWE '!E64</f>
        <v>7.48</v>
      </c>
      <c r="H67" s="31">
        <f t="shared" si="21"/>
        <v>6.5824000000000008E-2</v>
      </c>
      <c r="J67" s="42">
        <f>'Price list REWE '!H64</f>
        <v>12.6</v>
      </c>
      <c r="K67" s="42">
        <f t="shared" si="22"/>
        <v>0.11088000000000001</v>
      </c>
      <c r="M67" s="31">
        <f>'Price list ALDI Süd'!E64</f>
        <v>9.9600000000000009</v>
      </c>
      <c r="N67" s="31">
        <f t="shared" si="23"/>
        <v>8.7648000000000004E-2</v>
      </c>
      <c r="P67" s="42">
        <f>'Price list ALDI Süd'!H64</f>
        <v>10.95</v>
      </c>
      <c r="Q67" s="42">
        <f t="shared" si="24"/>
        <v>9.6360000000000001E-2</v>
      </c>
    </row>
    <row r="68" spans="1:17" ht="34" x14ac:dyDescent="0.2">
      <c r="B68" s="1" t="s">
        <v>402</v>
      </c>
      <c r="D68" s="1">
        <f>10*C4</f>
        <v>8.8000000000000007</v>
      </c>
      <c r="E68" s="1">
        <f t="shared" si="20"/>
        <v>61.600000000000009</v>
      </c>
      <c r="G68" s="31">
        <f>'Price list REWE '!E65</f>
        <v>11.56</v>
      </c>
      <c r="H68" s="31">
        <f t="shared" si="21"/>
        <v>0.10172800000000001</v>
      </c>
      <c r="J68" s="42">
        <f>'Price list REWE '!H65</f>
        <v>14.6</v>
      </c>
      <c r="K68" s="42">
        <f t="shared" si="22"/>
        <v>0.12848000000000001</v>
      </c>
      <c r="M68" s="31">
        <f>'Price list ALDI Süd'!E65</f>
        <v>11.56</v>
      </c>
      <c r="N68" s="31">
        <f t="shared" si="23"/>
        <v>0.10172800000000001</v>
      </c>
      <c r="P68" s="42">
        <f>'Price list ALDI Süd'!H65</f>
        <v>14.6</v>
      </c>
      <c r="Q68" s="42">
        <f t="shared" si="24"/>
        <v>0.12848000000000001</v>
      </c>
    </row>
    <row r="69" spans="1:17" ht="17" x14ac:dyDescent="0.2">
      <c r="B69" s="1" t="s">
        <v>403</v>
      </c>
      <c r="D69" s="1">
        <f>10*C4</f>
        <v>8.8000000000000007</v>
      </c>
      <c r="E69" s="1">
        <f t="shared" si="20"/>
        <v>61.600000000000009</v>
      </c>
      <c r="G69" s="31">
        <f>'Price list REWE '!E66</f>
        <v>9.9499999999999993</v>
      </c>
      <c r="H69" s="31">
        <f t="shared" si="21"/>
        <v>8.7559999999999999E-2</v>
      </c>
      <c r="J69" s="42">
        <f>'Price list REWE '!H66</f>
        <v>13.27</v>
      </c>
      <c r="K69" s="42">
        <f t="shared" si="22"/>
        <v>0.116776</v>
      </c>
      <c r="M69" s="31">
        <f>'Price list ALDI Süd'!E66</f>
        <v>9.9499999999999993</v>
      </c>
      <c r="N69" s="31">
        <f t="shared" si="23"/>
        <v>8.7559999999999999E-2</v>
      </c>
      <c r="P69" s="42">
        <f>'Price list ALDI Süd'!H66</f>
        <v>13.28</v>
      </c>
      <c r="Q69" s="42">
        <f t="shared" si="24"/>
        <v>0.11686400000000001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3.5*C4</f>
        <v>3.08</v>
      </c>
      <c r="E71" s="4">
        <v>24.5</v>
      </c>
      <c r="F71" s="4">
        <f>15*C4</f>
        <v>13.2</v>
      </c>
    </row>
    <row r="72" spans="1:17" ht="17" x14ac:dyDescent="0.2">
      <c r="B72" s="1" t="s">
        <v>158</v>
      </c>
      <c r="D72" s="1">
        <f>3.5*C4</f>
        <v>3.08</v>
      </c>
      <c r="E72" s="1">
        <v>24.5</v>
      </c>
      <c r="G72" s="31">
        <f>'Price list REWE '!E69</f>
        <v>13.96</v>
      </c>
      <c r="H72" s="31">
        <f>G72/1000*D72</f>
        <v>4.2996800000000002E-2</v>
      </c>
      <c r="J72" s="42">
        <f>'Price list REWE '!H69</f>
        <v>15.9</v>
      </c>
      <c r="K72" s="42">
        <f>J72/1000*D72</f>
        <v>4.8972000000000002E-2</v>
      </c>
      <c r="M72" s="31">
        <f>'Price list ALDI Süd'!E69</f>
        <v>9.7799999999999994</v>
      </c>
      <c r="N72" s="31">
        <f>M72/1000*D72</f>
        <v>3.0122399999999997E-2</v>
      </c>
      <c r="P72" s="42">
        <f>'Price list ALDI Süd'!H69</f>
        <v>11.98</v>
      </c>
      <c r="Q72" s="42">
        <f>P72/1000*D72</f>
        <v>3.6898400000000005E-2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3.5*C4</f>
        <v>3.08</v>
      </c>
      <c r="E74" s="4">
        <v>24.5</v>
      </c>
      <c r="F74" s="4">
        <f>15*C4</f>
        <v>13.2</v>
      </c>
    </row>
    <row r="75" spans="1:17" ht="17" x14ac:dyDescent="0.2">
      <c r="B75" s="1" t="s">
        <v>162</v>
      </c>
      <c r="D75" s="1">
        <f>3.5*C4</f>
        <v>3.08</v>
      </c>
      <c r="E75" s="1">
        <v>24.5</v>
      </c>
      <c r="G75" s="31">
        <f>'Price list REWE '!E72</f>
        <v>8.98</v>
      </c>
      <c r="H75" s="31">
        <f>G75/1000*D75</f>
        <v>2.76584E-2</v>
      </c>
      <c r="J75" s="42">
        <f>'Price list REWE '!H72</f>
        <v>29.9</v>
      </c>
      <c r="K75" s="42">
        <f>J75/1000*D75</f>
        <v>9.2092000000000007E-2</v>
      </c>
      <c r="M75" s="31">
        <f>'Price list ALDI Süd'!E72</f>
        <v>8.98</v>
      </c>
      <c r="N75" s="31">
        <f>M75/1000*D75</f>
        <v>2.76584E-2</v>
      </c>
      <c r="P75" s="42">
        <f>'Price list ALDI Süd'!H72</f>
        <v>17.96</v>
      </c>
      <c r="Q75" s="42">
        <f>P75/1000*D75</f>
        <v>5.5316799999999999E-2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14.5*C4</f>
        <v>12.76</v>
      </c>
      <c r="E77" s="4">
        <v>101.5</v>
      </c>
      <c r="F77" s="4">
        <f>62*C4</f>
        <v>54.56</v>
      </c>
    </row>
    <row r="78" spans="1:17" ht="17" x14ac:dyDescent="0.2">
      <c r="B78" s="1" t="s">
        <v>166</v>
      </c>
      <c r="D78" s="1">
        <f>14.5*C4</f>
        <v>12.76</v>
      </c>
      <c r="E78" s="1">
        <v>101.5</v>
      </c>
      <c r="G78" s="31">
        <f>'Price list REWE '!E75</f>
        <v>9.98</v>
      </c>
      <c r="H78" s="31">
        <f>G78/1000*D78</f>
        <v>0.12734480000000001</v>
      </c>
      <c r="J78" s="42">
        <f>'Price list REWE '!H75</f>
        <v>34.9</v>
      </c>
      <c r="K78" s="42">
        <f>J78/1000*D78</f>
        <v>0.445324</v>
      </c>
      <c r="M78" s="31">
        <f>'Price list ALDI Süd'!E75</f>
        <v>9.98</v>
      </c>
      <c r="N78" s="31">
        <f>M78/1000*D78</f>
        <v>0.12734480000000001</v>
      </c>
      <c r="P78" s="42">
        <f>'Price list ALDI Süd'!H75</f>
        <v>24.99</v>
      </c>
      <c r="Q78" s="42">
        <f>P78/1000*D78</f>
        <v>0.3188724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11.44</v>
      </c>
      <c r="E80" s="4">
        <v>91</v>
      </c>
      <c r="F80" s="4">
        <f>19*C4</f>
        <v>16.72</v>
      </c>
    </row>
    <row r="81" spans="1:17" ht="17" x14ac:dyDescent="0.2">
      <c r="A81" s="1"/>
      <c r="B81" s="1" t="s">
        <v>170</v>
      </c>
      <c r="D81" s="1">
        <f>13*C4</f>
        <v>11.44</v>
      </c>
      <c r="E81" s="1">
        <v>91</v>
      </c>
      <c r="G81" s="31">
        <f>'Price list REWE '!E78</f>
        <v>3.98</v>
      </c>
      <c r="H81" s="31">
        <f>G81/1000*D81</f>
        <v>4.5531200000000001E-2</v>
      </c>
      <c r="J81" s="42">
        <f>'Price list REWE '!H78</f>
        <v>7.9666666666666677</v>
      </c>
      <c r="K81" s="42">
        <f>J81/1000*D81</f>
        <v>9.1138666666666673E-2</v>
      </c>
      <c r="M81" s="31">
        <f>'Price list ALDI Süd'!E78</f>
        <v>3.98</v>
      </c>
      <c r="N81" s="31">
        <f>M81/1000*D81</f>
        <v>4.5531200000000001E-2</v>
      </c>
      <c r="P81" s="42">
        <f>'Price list ALDI Süd'!H78</f>
        <v>6.38</v>
      </c>
      <c r="Q81" s="42">
        <f>P81/1000*D81</f>
        <v>7.2987200000000002E-2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14*C4</f>
        <v>12.32</v>
      </c>
      <c r="E83" s="4">
        <v>98</v>
      </c>
      <c r="F83" s="4">
        <f>40*C4</f>
        <v>35.200000000000003</v>
      </c>
    </row>
    <row r="84" spans="1:17" ht="17" x14ac:dyDescent="0.2">
      <c r="B84" s="1" t="s">
        <v>174</v>
      </c>
      <c r="D84" s="1">
        <f>D83/3</f>
        <v>4.1066666666666665</v>
      </c>
      <c r="E84" s="1">
        <v>32.666666666666671</v>
      </c>
      <c r="G84" s="31">
        <f>'Price list REWE '!E81</f>
        <v>23.96</v>
      </c>
      <c r="H84" s="31">
        <f>G84/1000*D84</f>
        <v>9.8395733333333332E-2</v>
      </c>
      <c r="J84" s="42">
        <f>'Price list REWE '!H81</f>
        <v>31.96</v>
      </c>
      <c r="K84" s="42">
        <f>J84/1000*D84</f>
        <v>0.13124906666666666</v>
      </c>
      <c r="M84" s="31">
        <f>'Price list ALDI Süd'!E81</f>
        <v>23.96</v>
      </c>
      <c r="N84" s="31">
        <f>M84/1000*D84</f>
        <v>9.8395733333333332E-2</v>
      </c>
      <c r="P84" s="42">
        <f>'Price list ALDI Süd'!H81</f>
        <v>31.96</v>
      </c>
      <c r="Q84" s="42">
        <f>P84/1000*D84</f>
        <v>0.13124906666666666</v>
      </c>
    </row>
    <row r="85" spans="1:17" ht="17" x14ac:dyDescent="0.2">
      <c r="B85" s="1" t="s">
        <v>177</v>
      </c>
      <c r="D85" s="1">
        <f>D83/3</f>
        <v>4.1066666666666665</v>
      </c>
      <c r="E85" s="1">
        <v>32.666666666666671</v>
      </c>
      <c r="G85" s="31">
        <f>'Price list REWE '!E82</f>
        <v>7.49</v>
      </c>
      <c r="H85" s="31">
        <f>G85/1000*D85</f>
        <v>3.0758933333333332E-2</v>
      </c>
      <c r="J85" s="42">
        <f>'Price list REWE '!H82</f>
        <v>7.49</v>
      </c>
      <c r="K85" s="42">
        <f>J85/1000*D85</f>
        <v>3.0758933333333332E-2</v>
      </c>
      <c r="M85" s="31">
        <f>'Price list ALDI Süd'!E82</f>
        <v>7.49</v>
      </c>
      <c r="N85" s="31">
        <f>M85/1000*D85</f>
        <v>3.0758933333333332E-2</v>
      </c>
      <c r="P85" s="42">
        <f>'Price list ALDI Süd'!H82</f>
        <v>7.49</v>
      </c>
      <c r="Q85" s="42">
        <f>P85/1000*D85</f>
        <v>3.0758933333333332E-2</v>
      </c>
    </row>
    <row r="86" spans="1:17" ht="17" x14ac:dyDescent="0.2">
      <c r="B86" s="1" t="s">
        <v>179</v>
      </c>
      <c r="D86" s="1">
        <f>D83/3</f>
        <v>4.1066666666666665</v>
      </c>
      <c r="E86" s="1">
        <v>32.666666666666671</v>
      </c>
      <c r="G86" s="31">
        <f>'Price list REWE '!E83</f>
        <v>7.6410256410256414</v>
      </c>
      <c r="H86" s="31">
        <f>G86/1000*D86</f>
        <v>3.1379145299145303E-2</v>
      </c>
      <c r="J86" s="42">
        <f>'Price list REWE '!H83</f>
        <v>20.5625</v>
      </c>
      <c r="K86" s="42">
        <f>J86/1000*D86</f>
        <v>8.4443333333333329E-2</v>
      </c>
      <c r="M86" s="31">
        <f>'Price list ALDI Süd'!E83</f>
        <v>7.6410256410256414</v>
      </c>
      <c r="N86" s="31">
        <f>M86/1000*D86</f>
        <v>3.1379145299145303E-2</v>
      </c>
      <c r="P86" s="42">
        <f>'Price list ALDI Süd'!H83</f>
        <v>20.5625</v>
      </c>
      <c r="Q86" s="42">
        <f>P86/1000*D86</f>
        <v>8.4443333333333329E-2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E88/7*C4</f>
        <v>50.285714285714292</v>
      </c>
      <c r="E88" s="4">
        <f>350+50</f>
        <v>400</v>
      </c>
      <c r="F88" s="4">
        <f>172*C4</f>
        <v>151.36000000000001</v>
      </c>
    </row>
    <row r="89" spans="1:17" ht="17" x14ac:dyDescent="0.2">
      <c r="B89" s="1" t="s">
        <v>183</v>
      </c>
      <c r="D89" s="1">
        <f t="shared" ref="D89:D94" si="25">$D$88/6</f>
        <v>8.3809523809523814</v>
      </c>
      <c r="E89" s="1">
        <f t="shared" ref="E89:E94" si="26">D89*$E$10</f>
        <v>58.666666666666671</v>
      </c>
      <c r="G89" s="31">
        <f>'Price list REWE '!E86</f>
        <v>4.58</v>
      </c>
      <c r="H89" s="31">
        <f t="shared" ref="H89:H94" si="27">G89/1000*D89</f>
        <v>3.8384761904761908E-2</v>
      </c>
      <c r="J89" s="42">
        <f>'Price list REWE '!H86</f>
        <v>3.3</v>
      </c>
      <c r="K89" s="42">
        <f t="shared" ref="K89:K94" si="28">J89/1000*D89</f>
        <v>2.7657142857142859E-2</v>
      </c>
      <c r="M89" s="31">
        <f>'Price list ALDI Süd'!E86</f>
        <v>3.98</v>
      </c>
      <c r="N89" s="31">
        <f t="shared" ref="N89:N94" si="29">M89/1000*D89</f>
        <v>3.3356190476190477E-2</v>
      </c>
      <c r="P89" s="42">
        <f>'Price list ALDI Süd'!H86</f>
        <v>3.3</v>
      </c>
      <c r="Q89" s="42">
        <f t="shared" ref="Q89:Q94" si="30">P89/1000*D89</f>
        <v>2.7657142857142859E-2</v>
      </c>
    </row>
    <row r="90" spans="1:17" ht="17" x14ac:dyDescent="0.2">
      <c r="B90" s="1" t="s">
        <v>186</v>
      </c>
      <c r="D90" s="1">
        <f t="shared" si="25"/>
        <v>8.3809523809523814</v>
      </c>
      <c r="E90" s="1">
        <f t="shared" si="26"/>
        <v>58.666666666666671</v>
      </c>
      <c r="G90" s="31">
        <f>'Price list REWE '!E87</f>
        <v>2.9749999999999996</v>
      </c>
      <c r="H90" s="31">
        <f t="shared" si="27"/>
        <v>2.4933333333333332E-2</v>
      </c>
      <c r="J90" s="42">
        <f>'Price list REWE '!H87</f>
        <v>3.5833333333333335</v>
      </c>
      <c r="K90" s="42">
        <f t="shared" si="28"/>
        <v>3.0031746031746034E-2</v>
      </c>
      <c r="M90" s="31">
        <f>'Price list ALDI Süd'!E87</f>
        <v>2.9749999999999996</v>
      </c>
      <c r="N90" s="31">
        <f t="shared" si="29"/>
        <v>2.4933333333333332E-2</v>
      </c>
      <c r="P90" s="42">
        <f>'Price list ALDI Süd'!H87</f>
        <v>3.5833333333333335</v>
      </c>
      <c r="Q90" s="42">
        <f t="shared" si="30"/>
        <v>3.0031746031746034E-2</v>
      </c>
    </row>
    <row r="91" spans="1:17" ht="17" x14ac:dyDescent="0.2">
      <c r="B91" s="1" t="s">
        <v>189</v>
      </c>
      <c r="D91" s="1">
        <f t="shared" si="25"/>
        <v>8.3809523809523814</v>
      </c>
      <c r="E91" s="1">
        <f t="shared" si="26"/>
        <v>58.666666666666671</v>
      </c>
      <c r="G91" s="31">
        <f>'Price list REWE '!E88</f>
        <v>1.7249999999999999</v>
      </c>
      <c r="H91" s="31">
        <f t="shared" si="27"/>
        <v>1.4457142857142858E-2</v>
      </c>
      <c r="J91" s="42">
        <f>'Price list REWE '!H88</f>
        <v>2.75</v>
      </c>
      <c r="K91" s="42">
        <f t="shared" si="28"/>
        <v>2.3047619047619046E-2</v>
      </c>
      <c r="M91" s="31">
        <f>'Price list ALDI Süd'!E88</f>
        <v>1.7249999999999999</v>
      </c>
      <c r="N91" s="31">
        <f t="shared" si="29"/>
        <v>1.4457142857142858E-2</v>
      </c>
      <c r="P91" s="42">
        <f>'Price list ALDI Süd'!H88</f>
        <v>2.75</v>
      </c>
      <c r="Q91" s="42">
        <f t="shared" si="30"/>
        <v>2.3047619047619046E-2</v>
      </c>
    </row>
    <row r="92" spans="1:17" ht="17" x14ac:dyDescent="0.2">
      <c r="B92" s="1" t="s">
        <v>192</v>
      </c>
      <c r="D92" s="1">
        <f t="shared" si="25"/>
        <v>8.3809523809523814</v>
      </c>
      <c r="E92" s="1">
        <f t="shared" si="26"/>
        <v>58.666666666666671</v>
      </c>
      <c r="G92" s="31">
        <f>'Price list REWE '!E89</f>
        <v>1.99</v>
      </c>
      <c r="H92" s="31">
        <f t="shared" si="27"/>
        <v>1.6678095238095238E-2</v>
      </c>
      <c r="J92" s="42">
        <f>'Price list REWE '!H89</f>
        <v>3.98</v>
      </c>
      <c r="K92" s="42">
        <f t="shared" si="28"/>
        <v>3.3356190476190477E-2</v>
      </c>
      <c r="M92" s="31">
        <f>'Price list ALDI Süd'!E89</f>
        <v>1.99</v>
      </c>
      <c r="N92" s="31">
        <f t="shared" si="29"/>
        <v>1.6678095238095238E-2</v>
      </c>
      <c r="P92" s="42">
        <f>'Price list ALDI Süd'!H89</f>
        <v>3.32</v>
      </c>
      <c r="Q92" s="42">
        <f t="shared" si="30"/>
        <v>2.7824761904761908E-2</v>
      </c>
    </row>
    <row r="93" spans="1:17" ht="17" x14ac:dyDescent="0.2">
      <c r="B93" s="1" t="s">
        <v>622</v>
      </c>
      <c r="D93" s="1">
        <f t="shared" si="25"/>
        <v>8.3809523809523814</v>
      </c>
      <c r="E93" s="1">
        <f t="shared" si="26"/>
        <v>58.666666666666671</v>
      </c>
      <c r="G93" s="31">
        <f>'Price list REWE '!E90</f>
        <v>1.7249999999999999</v>
      </c>
      <c r="H93" s="31">
        <f t="shared" si="27"/>
        <v>1.4457142857142858E-2</v>
      </c>
      <c r="J93" s="42">
        <f>'Price list REWE '!H90</f>
        <v>3</v>
      </c>
      <c r="K93" s="42">
        <f t="shared" si="28"/>
        <v>2.5142857142857144E-2</v>
      </c>
      <c r="M93" s="31">
        <f>'Price list ALDI Süd'!E90</f>
        <v>1.7249999999999999</v>
      </c>
      <c r="N93" s="31">
        <f t="shared" si="29"/>
        <v>1.4457142857142858E-2</v>
      </c>
      <c r="P93" s="42">
        <f>'Price list ALDI Süd'!H90</f>
        <v>2.75</v>
      </c>
      <c r="Q93" s="42">
        <f t="shared" si="30"/>
        <v>2.3047619047619046E-2</v>
      </c>
    </row>
    <row r="94" spans="1:17" ht="17" x14ac:dyDescent="0.2">
      <c r="A94" s="1"/>
      <c r="B94" s="1" t="s">
        <v>623</v>
      </c>
      <c r="D94" s="1">
        <f t="shared" si="25"/>
        <v>8.3809523809523814</v>
      </c>
      <c r="E94" s="1">
        <f t="shared" si="26"/>
        <v>58.666666666666671</v>
      </c>
      <c r="G94" s="31">
        <f>'Price list REWE '!E91</f>
        <v>2.0441176470588234</v>
      </c>
      <c r="H94" s="31">
        <f t="shared" si="27"/>
        <v>1.7131652661064426E-2</v>
      </c>
      <c r="J94" s="42">
        <f>'Price list REWE '!H91</f>
        <v>2.0441176470588234</v>
      </c>
      <c r="K94" s="42">
        <f t="shared" si="28"/>
        <v>1.7131652661064426E-2</v>
      </c>
      <c r="M94" s="31">
        <f>'Price list ALDI Süd'!E91</f>
        <v>3.3559322033898304</v>
      </c>
      <c r="N94" s="31">
        <f t="shared" si="29"/>
        <v>2.812590799031477E-2</v>
      </c>
      <c r="P94" s="42">
        <f>'Price list ALDI Süd'!H91</f>
        <v>3.3559322033898304</v>
      </c>
      <c r="Q94" s="42">
        <f t="shared" si="30"/>
        <v>2.812590799031477E-2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E96/7*C4</f>
        <v>29.542857142857141</v>
      </c>
      <c r="E96" s="4">
        <f>175+60</f>
        <v>235</v>
      </c>
      <c r="F96" s="4">
        <f>112*C4</f>
        <v>98.56</v>
      </c>
    </row>
    <row r="97" spans="1:17" ht="17" x14ac:dyDescent="0.2">
      <c r="B97" s="1" t="s">
        <v>201</v>
      </c>
      <c r="D97" s="1">
        <f>D96/2</f>
        <v>14.77142857142857</v>
      </c>
      <c r="E97" s="1">
        <v>117.5</v>
      </c>
      <c r="G97" s="31">
        <f>'Price list REWE '!E94</f>
        <v>5.48</v>
      </c>
      <c r="H97" s="31">
        <f>G97/1000*D97</f>
        <v>8.0947428571428573E-2</v>
      </c>
      <c r="J97" s="42">
        <f>'Price list REWE '!H94</f>
        <v>5.48</v>
      </c>
      <c r="K97" s="42">
        <f>J97/1000*D97</f>
        <v>8.0947428571428573E-2</v>
      </c>
      <c r="M97" s="31">
        <f>'Price list ALDI Süd'!E94</f>
        <v>5.48</v>
      </c>
      <c r="N97" s="31">
        <f>M97/1000*D97</f>
        <v>8.0947428571428573E-2</v>
      </c>
      <c r="P97" s="42">
        <f>'Price list ALDI Süd'!H94</f>
        <v>5.48</v>
      </c>
      <c r="Q97" s="42">
        <f>P97/1000*D97</f>
        <v>8.0947428571428573E-2</v>
      </c>
    </row>
    <row r="98" spans="1:17" ht="17" x14ac:dyDescent="0.2">
      <c r="B98" s="1" t="s">
        <v>203</v>
      </c>
      <c r="D98" s="1">
        <f>D96/2</f>
        <v>14.77142857142857</v>
      </c>
      <c r="E98" s="1">
        <v>117.5</v>
      </c>
      <c r="G98" s="31">
        <f>'Price list REWE '!E95</f>
        <v>6.26</v>
      </c>
      <c r="H98" s="31">
        <f>G98/1000*D98</f>
        <v>9.2469142857142847E-2</v>
      </c>
      <c r="J98" s="42">
        <f>'Price list REWE '!H95</f>
        <v>6.26</v>
      </c>
      <c r="K98" s="42">
        <f>J98/1000*D98</f>
        <v>9.2469142857142847E-2</v>
      </c>
      <c r="M98" s="31">
        <f>'Price list ALDI Süd'!E95</f>
        <v>6.26</v>
      </c>
      <c r="N98" s="31">
        <f>M98/1000*D98</f>
        <v>9.2469142857142847E-2</v>
      </c>
      <c r="P98" s="42">
        <f>'Price list ALDI Süd'!H95</f>
        <v>6.26</v>
      </c>
      <c r="Q98" s="42">
        <f>P98/1000*D98</f>
        <v>9.2469142857142847E-2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124.96</v>
      </c>
    </row>
    <row r="102" spans="1:17" ht="17" x14ac:dyDescent="0.2">
      <c r="B102" s="1" t="s">
        <v>207</v>
      </c>
      <c r="D102" s="1">
        <f>25*C4</f>
        <v>22</v>
      </c>
      <c r="E102" s="1">
        <f>D102*E10</f>
        <v>154</v>
      </c>
      <c r="G102" s="31">
        <f>'Price list REWE '!E99</f>
        <v>4.9800000000000004</v>
      </c>
      <c r="H102" s="31">
        <f>G102/1000*D102</f>
        <v>0.10956</v>
      </c>
      <c r="J102" s="42">
        <f>'Price list REWE '!H99</f>
        <v>4.9800000000000004</v>
      </c>
      <c r="K102" s="42">
        <f>J102/1000*D102</f>
        <v>0.10956</v>
      </c>
      <c r="M102" s="31">
        <f>'Price list ALDI Süd'!E99</f>
        <v>4.9800000000000004</v>
      </c>
      <c r="N102" s="31">
        <f>M102/1000*D102</f>
        <v>0.10956</v>
      </c>
      <c r="P102" s="42">
        <f>'Price list ALDI Süd'!H99</f>
        <v>4.9800000000000004</v>
      </c>
      <c r="Q102" s="42">
        <f>P102/1000*D102</f>
        <v>0.10956</v>
      </c>
    </row>
    <row r="103" spans="1:17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22</v>
      </c>
      <c r="E104" s="8">
        <f>D104*7</f>
        <v>154</v>
      </c>
      <c r="F104" s="8">
        <f>149*C4</f>
        <v>131.12</v>
      </c>
    </row>
    <row r="105" spans="1:17" ht="17" x14ac:dyDescent="0.2">
      <c r="B105" s="1" t="s">
        <v>210</v>
      </c>
      <c r="D105" s="7">
        <f>D104/2</f>
        <v>11</v>
      </c>
      <c r="E105" s="1">
        <f>D105*7</f>
        <v>77</v>
      </c>
      <c r="G105" s="31">
        <f>'Price list REWE '!E102</f>
        <v>11.45</v>
      </c>
      <c r="H105" s="31">
        <f>G105/1000*D105</f>
        <v>0.12595000000000001</v>
      </c>
      <c r="J105" s="42">
        <f>'Price list REWE '!H102</f>
        <v>17.95</v>
      </c>
      <c r="K105" s="42">
        <f>J105/1000*D105</f>
        <v>0.19745000000000001</v>
      </c>
      <c r="M105" s="31">
        <f>'Price list ALDI Süd'!E102</f>
        <v>11.45</v>
      </c>
      <c r="N105" s="31">
        <f>M105/1000*D105</f>
        <v>0.12595000000000001</v>
      </c>
      <c r="P105" s="42">
        <f>'Price list ALDI Süd'!H102</f>
        <v>14.75</v>
      </c>
      <c r="Q105" s="42">
        <f>P105/1000*D105</f>
        <v>0.16225000000000001</v>
      </c>
    </row>
    <row r="106" spans="1:17" ht="17" x14ac:dyDescent="0.2">
      <c r="B106" s="1" t="s">
        <v>213</v>
      </c>
      <c r="D106" s="7">
        <f>D104/2</f>
        <v>11</v>
      </c>
      <c r="E106" s="1">
        <f>D106*7</f>
        <v>77</v>
      </c>
      <c r="F106" s="7"/>
      <c r="G106" s="31">
        <f>'Price list REWE '!E103</f>
        <v>11.45</v>
      </c>
      <c r="H106" s="31">
        <f>G106/1000*D106</f>
        <v>0.12595000000000001</v>
      </c>
      <c r="J106" s="42">
        <f>'Price list REWE '!H103</f>
        <v>11.45</v>
      </c>
      <c r="K106" s="42">
        <f>J106/1000*D106</f>
        <v>0.12595000000000001</v>
      </c>
      <c r="M106" s="31">
        <f>'Price list ALDI Süd'!E103</f>
        <v>11.45</v>
      </c>
      <c r="N106" s="31">
        <f>M106/1000*D106</f>
        <v>0.12595000000000001</v>
      </c>
      <c r="P106" s="42">
        <f>'Price list ALDI Süd'!H103</f>
        <v>11.45</v>
      </c>
      <c r="Q106" s="42">
        <f>P106/1000*D106</f>
        <v>0.12595000000000001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5.984</v>
      </c>
      <c r="E108" s="8">
        <f>D108*7</f>
        <v>41.887999999999998</v>
      </c>
      <c r="F108" s="8">
        <f>60*C4</f>
        <v>52.8</v>
      </c>
    </row>
    <row r="109" spans="1:17" ht="17" x14ac:dyDescent="0.2">
      <c r="B109" s="1" t="s">
        <v>216</v>
      </c>
      <c r="D109" s="1">
        <f>D108</f>
        <v>5.984</v>
      </c>
      <c r="E109" s="1">
        <f>D109*7</f>
        <v>41.887999999999998</v>
      </c>
      <c r="G109" s="31">
        <f>'Price list REWE '!E106</f>
        <v>2.98</v>
      </c>
      <c r="H109" s="31">
        <f>G109/1000*D109</f>
        <v>1.7832319999999999E-2</v>
      </c>
      <c r="J109" s="42">
        <f>'Price list REWE '!H106</f>
        <v>7.16</v>
      </c>
      <c r="K109" s="42">
        <f>J109/1000*D109</f>
        <v>4.2845440000000005E-2</v>
      </c>
      <c r="M109" s="31">
        <f>'Price list ALDI Süd'!E106</f>
        <v>3.38</v>
      </c>
      <c r="N109" s="31">
        <f>M109/1000*D109</f>
        <v>2.0225919999999998E-2</v>
      </c>
      <c r="P109" s="42">
        <f>'Price list ALDI Süd'!H106</f>
        <v>7.16</v>
      </c>
      <c r="Q109" s="42">
        <f>P109/1000*D109</f>
        <v>4.2845440000000005E-2</v>
      </c>
    </row>
    <row r="110" spans="1:17" x14ac:dyDescent="0.2">
      <c r="A110" s="9">
        <v>1</v>
      </c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35.200000000000003</v>
      </c>
      <c r="E111" s="8">
        <f>D111*7</f>
        <v>246.40000000000003</v>
      </c>
      <c r="F111" s="8">
        <f>354*C4</f>
        <v>311.52</v>
      </c>
    </row>
    <row r="112" spans="1:17" ht="17" x14ac:dyDescent="0.2">
      <c r="B112" s="1" t="s">
        <v>220</v>
      </c>
      <c r="D112" s="1">
        <f>$D$111/3</f>
        <v>11.733333333333334</v>
      </c>
      <c r="E112" s="7">
        <f>D112*7</f>
        <v>82.13333333333334</v>
      </c>
      <c r="G112" s="31">
        <f>'Price list REWE '!E109</f>
        <v>3.78</v>
      </c>
      <c r="H112" s="31">
        <f>G112/1000*D112</f>
        <v>4.4352000000000003E-2</v>
      </c>
      <c r="J112" s="42">
        <f>'Price list REWE '!H109</f>
        <v>3.5</v>
      </c>
      <c r="K112" s="42">
        <f>J112/1000*D112</f>
        <v>4.1066666666666668E-2</v>
      </c>
      <c r="M112" s="31">
        <f>'Price list ALDI Süd'!E109</f>
        <v>1.851</v>
      </c>
      <c r="N112" s="31">
        <f>M112/1000*D112</f>
        <v>2.1718400000000002E-2</v>
      </c>
      <c r="P112" s="42">
        <f>'Price list ALDI Süd'!H109</f>
        <v>3.7</v>
      </c>
      <c r="Q112" s="42">
        <f>P112/1000*D112</f>
        <v>4.3413333333333338E-2</v>
      </c>
    </row>
    <row r="113" spans="1:17" ht="17" x14ac:dyDescent="0.2">
      <c r="B113" s="1" t="s">
        <v>223</v>
      </c>
      <c r="D113" s="1">
        <f>$D$111/3</f>
        <v>11.733333333333334</v>
      </c>
      <c r="E113" s="1">
        <f>D113*7</f>
        <v>82.13333333333334</v>
      </c>
      <c r="G113" s="31">
        <f>'Price list REWE '!E110</f>
        <v>8.99</v>
      </c>
      <c r="H113" s="31">
        <f>G113/1000*D113</f>
        <v>0.10548266666666667</v>
      </c>
      <c r="J113" s="42">
        <f>'Price list REWE '!H110</f>
        <v>14.58</v>
      </c>
      <c r="K113" s="42">
        <f>J113/1000*D113</f>
        <v>0.171072</v>
      </c>
      <c r="M113" s="31">
        <f>'Price list ALDI Süd'!E110</f>
        <v>7.99</v>
      </c>
      <c r="N113" s="31">
        <f>M113/1000*D113</f>
        <v>9.3749333333333351E-2</v>
      </c>
      <c r="P113" s="42">
        <f>'Price list ALDI Süd'!H110</f>
        <v>9.32</v>
      </c>
      <c r="Q113" s="42">
        <f>P113/1000*D113</f>
        <v>0.10935466666666668</v>
      </c>
    </row>
    <row r="114" spans="1:17" ht="17" x14ac:dyDescent="0.2">
      <c r="A114" s="1"/>
      <c r="B114" s="1" t="s">
        <v>226</v>
      </c>
      <c r="D114" s="1">
        <f>$D$111/3</f>
        <v>11.733333333333334</v>
      </c>
      <c r="E114" s="1">
        <f>D114*7</f>
        <v>82.13333333333334</v>
      </c>
      <c r="F114" s="7"/>
      <c r="G114" s="31">
        <f>'Price list REWE '!E111</f>
        <v>10.36</v>
      </c>
      <c r="H114" s="31">
        <f>G114/1000*D114</f>
        <v>0.12155733333333334</v>
      </c>
      <c r="J114" s="42">
        <f>'Price list REWE '!H111</f>
        <v>15.96</v>
      </c>
      <c r="K114" s="42">
        <f>J114/1000*D114</f>
        <v>0.18726400000000004</v>
      </c>
      <c r="M114" s="31">
        <f>'Price list ALDI Süd'!E111</f>
        <v>6.76</v>
      </c>
      <c r="N114" s="31">
        <f>M114/1000*D114</f>
        <v>7.9317333333333337E-2</v>
      </c>
      <c r="P114" s="42">
        <f>'Price list ALDI Süd'!H111</f>
        <v>6.76</v>
      </c>
      <c r="Q114" s="42">
        <f>P114/1000*D114</f>
        <v>7.9317333333333337E-2</v>
      </c>
    </row>
    <row r="115" spans="1:17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31.68</v>
      </c>
    </row>
    <row r="117" spans="1:17" ht="17" x14ac:dyDescent="0.2">
      <c r="B117" s="1" t="s">
        <v>230</v>
      </c>
      <c r="D117" s="7">
        <f>5*C4</f>
        <v>4.4000000000000004</v>
      </c>
      <c r="E117" s="7">
        <f>D117*7</f>
        <v>30.800000000000004</v>
      </c>
      <c r="G117" s="31">
        <f>'Price list REWE '!E114</f>
        <v>5.8</v>
      </c>
      <c r="H117" s="31">
        <f>G117/1000*D117</f>
        <v>2.5520000000000001E-2</v>
      </c>
      <c r="J117" s="42">
        <f>'Price list REWE '!H114</f>
        <v>11.96</v>
      </c>
      <c r="K117" s="42">
        <f>J117/1000*D117</f>
        <v>5.2624000000000004E-2</v>
      </c>
      <c r="M117" s="31">
        <f>'Price list ALDI Süd'!E114</f>
        <v>5.8</v>
      </c>
      <c r="N117" s="31">
        <f>M117/1000*D117</f>
        <v>2.5520000000000001E-2</v>
      </c>
      <c r="P117" s="42">
        <f>'Price list ALDI Süd'!H114</f>
        <v>11.96</v>
      </c>
      <c r="Q117" s="42">
        <f>P117/1000*D117</f>
        <v>5.2624000000000004E-2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7" x14ac:dyDescent="0.2">
      <c r="A119" s="12" t="s">
        <v>414</v>
      </c>
      <c r="D119" s="4">
        <f>31*C4</f>
        <v>27.28</v>
      </c>
      <c r="E119" s="4">
        <f>D119*E10</f>
        <v>190.96</v>
      </c>
      <c r="F119" s="4">
        <f>120*C4</f>
        <v>105.6</v>
      </c>
    </row>
    <row r="120" spans="1:17" ht="17" x14ac:dyDescent="0.2">
      <c r="A120" s="188"/>
      <c r="B120" s="1" t="s">
        <v>234</v>
      </c>
      <c r="D120" s="1">
        <f>D119/3</f>
        <v>9.0933333333333337</v>
      </c>
      <c r="E120" s="1">
        <f>D120*7</f>
        <v>63.653333333333336</v>
      </c>
      <c r="G120" s="31">
        <f>'Price list REWE '!E117</f>
        <v>1.49</v>
      </c>
      <c r="H120" s="31">
        <f>G120/1000*D120</f>
        <v>1.3549066666666667E-2</v>
      </c>
      <c r="J120" s="42">
        <f>'Price list REWE '!H117</f>
        <v>2.59</v>
      </c>
      <c r="K120" s="42">
        <f>J120/1000*D120</f>
        <v>2.3551733333333331E-2</v>
      </c>
      <c r="M120" s="31">
        <f>'Price list ALDI Süd'!E117</f>
        <v>1.49</v>
      </c>
      <c r="N120" s="31">
        <f>M120/1000*D120</f>
        <v>1.3549066666666667E-2</v>
      </c>
      <c r="P120" s="42">
        <f>'Price list ALDI Süd'!H117</f>
        <v>2.59</v>
      </c>
      <c r="Q120" s="42">
        <f>P120/1000*D120</f>
        <v>2.3551733333333331E-2</v>
      </c>
    </row>
    <row r="121" spans="1:17" ht="17" x14ac:dyDescent="0.2">
      <c r="B121" s="1" t="s">
        <v>237</v>
      </c>
      <c r="D121" s="1">
        <f>D119/3</f>
        <v>9.0933333333333337</v>
      </c>
      <c r="E121" s="1">
        <f>D121*7</f>
        <v>63.653333333333336</v>
      </c>
      <c r="G121" s="31">
        <f>'Price list REWE '!E118</f>
        <v>5.9</v>
      </c>
      <c r="H121" s="31">
        <f>G121/1000*D121</f>
        <v>5.3650666666666673E-2</v>
      </c>
      <c r="J121" s="42">
        <f>'Price list REWE '!H118</f>
        <v>12.9</v>
      </c>
      <c r="K121" s="42">
        <f>J121/1000*D121</f>
        <v>0.11730400000000001</v>
      </c>
      <c r="M121" s="31">
        <f>'Price list ALDI Süd'!E118</f>
        <v>5.9</v>
      </c>
      <c r="N121" s="31">
        <f>M121/1000*D121</f>
        <v>5.3650666666666673E-2</v>
      </c>
      <c r="P121" s="42">
        <f>'Price list ALDI Süd'!H118</f>
        <v>12.9</v>
      </c>
      <c r="Q121" s="42">
        <f>P121/1000*D121</f>
        <v>0.11730400000000001</v>
      </c>
    </row>
    <row r="122" spans="1:17" ht="17" x14ac:dyDescent="0.2">
      <c r="B122" s="252" t="s">
        <v>240</v>
      </c>
      <c r="D122" s="1">
        <f>D119/3</f>
        <v>9.0933333333333337</v>
      </c>
      <c r="E122" s="1">
        <f>D122*7</f>
        <v>63.653333333333336</v>
      </c>
      <c r="G122" s="31">
        <f>'Price list REWE '!E119</f>
        <v>3.66</v>
      </c>
      <c r="H122" s="31">
        <f>G122/1000*D122</f>
        <v>3.3281600000000001E-2</v>
      </c>
      <c r="J122" s="42">
        <f>'Price list REWE '!H119</f>
        <v>14.9</v>
      </c>
      <c r="K122" s="42">
        <f>J122/1000*D122</f>
        <v>0.13549066666666668</v>
      </c>
      <c r="M122" s="31">
        <f>'Price list ALDI Süd'!E119</f>
        <v>3.96</v>
      </c>
      <c r="N122" s="31">
        <f>M122/1000*D122</f>
        <v>3.6009600000000003E-2</v>
      </c>
      <c r="P122" s="42">
        <f>'Price list ALDI Süd'!H119</f>
        <v>9.4499999999999993</v>
      </c>
      <c r="Q122" s="42">
        <f>P122/1000*D122</f>
        <v>8.5932000000000008E-2</v>
      </c>
    </row>
    <row r="123" spans="1:17" x14ac:dyDescent="0.2">
      <c r="A123" s="9">
        <v>3</v>
      </c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1320</v>
      </c>
      <c r="E124" s="4">
        <f>D124*E10</f>
        <v>9240</v>
      </c>
    </row>
    <row r="125" spans="1:17" x14ac:dyDescent="0.2">
      <c r="B125" s="195" t="s">
        <v>415</v>
      </c>
      <c r="D125" s="1">
        <f>D124-D126</f>
        <v>920</v>
      </c>
      <c r="E125" s="1">
        <f>D125*7</f>
        <v>6440</v>
      </c>
      <c r="G125" s="31">
        <f>'Price list REWE '!E129</f>
        <v>0.18</v>
      </c>
      <c r="H125" s="31">
        <f>G125/1000*D125</f>
        <v>0.1656</v>
      </c>
      <c r="J125" s="42">
        <f>'Price list REWE '!H129</f>
        <v>0.18</v>
      </c>
      <c r="K125" s="42">
        <f>J125/1000*D125</f>
        <v>0.1656</v>
      </c>
      <c r="M125" s="31">
        <f>'Price list ALDI Süd'!E129</f>
        <v>0.18</v>
      </c>
      <c r="N125" s="31">
        <f>M125/1000*D125</f>
        <v>0.1656</v>
      </c>
      <c r="P125" s="42">
        <f>'Price list ALDI Süd'!H129</f>
        <v>0.18</v>
      </c>
      <c r="Q125" s="42">
        <f>P125/1000*D125</f>
        <v>0.1656</v>
      </c>
    </row>
    <row r="126" spans="1:17" ht="17" x14ac:dyDescent="0.2">
      <c r="B126" s="1" t="s">
        <v>417</v>
      </c>
      <c r="D126" s="1">
        <v>400</v>
      </c>
      <c r="E126" s="1">
        <f>D126*7</f>
        <v>2800</v>
      </c>
      <c r="G126" s="31">
        <f>'Price list REWE '!E130</f>
        <v>12.27</v>
      </c>
      <c r="H126" s="31">
        <f>G126/1000*(56/25)*2</f>
        <v>5.49696E-2</v>
      </c>
      <c r="J126" s="42">
        <f>'Price list REWE '!H130</f>
        <v>67.25</v>
      </c>
      <c r="K126" s="42">
        <f>J126/1000*(40/20)*2</f>
        <v>0.26900000000000002</v>
      </c>
      <c r="M126" s="31">
        <f>'Price list ALDI Süd'!E130</f>
        <v>12.27</v>
      </c>
      <c r="N126" s="31">
        <f>M126/1000*(56.25/25)*2</f>
        <v>5.5215E-2</v>
      </c>
      <c r="P126" s="42">
        <f>'Price list ALDI Süd'!H130</f>
        <v>67.25</v>
      </c>
      <c r="Q126" s="42">
        <f>P126/1000*(40/20)*2</f>
        <v>0.26900000000000002</v>
      </c>
    </row>
    <row r="127" spans="1:17" ht="17" x14ac:dyDescent="0.2">
      <c r="B127" s="1" t="s">
        <v>420</v>
      </c>
      <c r="D127" s="1">
        <f>E127/7</f>
        <v>28.571428571428573</v>
      </c>
      <c r="E127" s="1">
        <v>200</v>
      </c>
      <c r="G127" s="31">
        <f>'Price list REWE '!E131</f>
        <v>0.39</v>
      </c>
      <c r="H127" s="31">
        <f>G127/1000*D127</f>
        <v>1.1142857142857144E-2</v>
      </c>
      <c r="J127" s="42">
        <f>'Price list REWE '!H131</f>
        <v>3.79</v>
      </c>
      <c r="K127" s="42">
        <f>J127/1000*D127</f>
        <v>0.10828571428571429</v>
      </c>
      <c r="M127" s="31">
        <f>'Price list ALDI Süd'!E131</f>
        <v>0.39</v>
      </c>
      <c r="N127" s="31">
        <f>M127/1000*D127</f>
        <v>1.1142857142857144E-2</v>
      </c>
      <c r="P127" s="42">
        <f>'Price list ALDI Süd'!H131</f>
        <v>3.79</v>
      </c>
      <c r="Q127" s="42">
        <f>P127/1000*D127</f>
        <v>0.10828571428571429</v>
      </c>
    </row>
    <row r="128" spans="1:17" ht="17" x14ac:dyDescent="0.2">
      <c r="B128" s="1" t="s">
        <v>421</v>
      </c>
      <c r="D128" s="1">
        <f>E128/7</f>
        <v>28.571428571428573</v>
      </c>
      <c r="E128" s="1">
        <v>200</v>
      </c>
      <c r="G128" s="31">
        <f>'Price list REWE '!E132</f>
        <v>1.29</v>
      </c>
      <c r="H128" s="31">
        <f>G128/1000*D128</f>
        <v>3.6857142857142866E-2</v>
      </c>
      <c r="J128" s="42">
        <f>'Price list REWE '!H132</f>
        <v>2.39</v>
      </c>
      <c r="K128" s="42">
        <f>J128/1000*D128</f>
        <v>6.8285714285714297E-2</v>
      </c>
      <c r="M128" s="31">
        <f>'Price list ALDI Süd'!E132</f>
        <v>1.29</v>
      </c>
      <c r="N128" s="31">
        <f>M128/1000*D128</f>
        <v>3.6857142857142866E-2</v>
      </c>
      <c r="P128" s="42">
        <f>'Price list ALDI Süd'!H132</f>
        <v>3.32</v>
      </c>
      <c r="Q128" s="42">
        <f>P128/1000*D128</f>
        <v>9.4857142857142862E-2</v>
      </c>
    </row>
    <row r="129" spans="1:19" x14ac:dyDescent="0.2">
      <c r="A129" s="9">
        <v>4</v>
      </c>
    </row>
    <row r="131" spans="1:19" s="4" customFormat="1" ht="17" x14ac:dyDescent="0.2">
      <c r="A131" s="185" t="s">
        <v>431</v>
      </c>
      <c r="F131" s="12" t="s">
        <v>423</v>
      </c>
      <c r="G131" s="91"/>
      <c r="H131" s="185" t="s">
        <v>432</v>
      </c>
      <c r="I131" s="81"/>
      <c r="J131" s="81"/>
      <c r="K131" s="185" t="s">
        <v>432</v>
      </c>
      <c r="L131" s="220"/>
      <c r="M131" s="220"/>
      <c r="N131" s="185" t="s">
        <v>432</v>
      </c>
      <c r="O131" s="220"/>
      <c r="P131" s="220"/>
      <c r="Q131" s="185" t="s">
        <v>432</v>
      </c>
      <c r="R131" s="255"/>
      <c r="S131" s="92"/>
    </row>
    <row r="132" spans="1:19" ht="17" x14ac:dyDescent="0.2">
      <c r="A132" s="273">
        <f>A129+A123+A118+A115+A107+A103+A99+A95+A87+A82+A79+A76+A73+A70+A59+A47+A40+A20+A17+A32+A110</f>
        <v>74</v>
      </c>
      <c r="D132" s="9"/>
      <c r="E132" s="9"/>
      <c r="F132" s="1">
        <f>F119+F116+F111+F108+F104+F101+F96+F88+F83+F80+F77+F74+F71+F60+F48+F41+F33+F23+F18+F11</f>
        <v>2202.64</v>
      </c>
      <c r="H132" s="1" t="s">
        <v>433</v>
      </c>
      <c r="K132" s="1" t="s">
        <v>433</v>
      </c>
      <c r="N132" s="1" t="s">
        <v>433</v>
      </c>
      <c r="Q132" s="1" t="s">
        <v>433</v>
      </c>
    </row>
    <row r="133" spans="1:19" x14ac:dyDescent="0.2">
      <c r="H133" s="1">
        <f>SUM(H12:H128)</f>
        <v>3.9940984114170646</v>
      </c>
      <c r="K133" s="1">
        <f>SUM(K12:K128)</f>
        <v>6.3887611334465504</v>
      </c>
      <c r="N133" s="1">
        <f>SUM(N12:N128)</f>
        <v>3.8855662931826709</v>
      </c>
      <c r="Q133" s="1">
        <f>SUM(Q12:Q128)</f>
        <v>5.7302342410235205</v>
      </c>
    </row>
    <row r="134" spans="1:19" x14ac:dyDescent="0.2"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9" ht="17" x14ac:dyDescent="0.2">
      <c r="H135" s="9" t="s">
        <v>434</v>
      </c>
      <c r="I135" s="9"/>
      <c r="J135" s="9"/>
      <c r="K135" s="9" t="s">
        <v>434</v>
      </c>
      <c r="L135" s="9"/>
      <c r="M135" s="9"/>
      <c r="N135" s="9" t="s">
        <v>434</v>
      </c>
      <c r="O135" s="9"/>
      <c r="P135" s="9"/>
      <c r="Q135" s="9" t="s">
        <v>434</v>
      </c>
    </row>
    <row r="136" spans="1:19" x14ac:dyDescent="0.2">
      <c r="H136" s="9">
        <f>H133*30</f>
        <v>119.82295234251194</v>
      </c>
      <c r="I136" s="9"/>
      <c r="J136" s="9"/>
      <c r="K136" s="9">
        <f>K133*30</f>
        <v>191.66283400339651</v>
      </c>
      <c r="L136" s="9"/>
      <c r="M136" s="9"/>
      <c r="N136" s="9">
        <f>N133*30</f>
        <v>116.56698879548013</v>
      </c>
      <c r="O136" s="9"/>
      <c r="P136" s="9"/>
      <c r="Q136" s="9">
        <f>Q133*30</f>
        <v>171.90702723070561</v>
      </c>
    </row>
  </sheetData>
  <mergeCells count="9">
    <mergeCell ref="G7:H8"/>
    <mergeCell ref="J7:K8"/>
    <mergeCell ref="M7:N8"/>
    <mergeCell ref="P7:Q8"/>
    <mergeCell ref="A1:Q1"/>
    <mergeCell ref="A2:Q2"/>
    <mergeCell ref="A4:B4"/>
    <mergeCell ref="G5:K6"/>
    <mergeCell ref="M5:Q6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A604A-B2EC-F842-9745-91B1C96DC8E7}">
  <sheetPr codeName="Tabelle22">
    <tabColor theme="4" tint="0.79998168889431442"/>
    <pageSetUpPr fitToPage="1"/>
  </sheetPr>
  <dimension ref="A1:S137"/>
  <sheetViews>
    <sheetView zoomScaleNormal="80" workbookViewId="0">
      <pane ySplit="9" topLeftCell="A99" activePane="bottomLeft" state="frozen"/>
      <selection pane="bottomLeft" sqref="A1:Q1"/>
    </sheetView>
  </sheetViews>
  <sheetFormatPr baseColWidth="10" defaultColWidth="10.83203125" defaultRowHeight="16" x14ac:dyDescent="0.2"/>
  <cols>
    <col min="1" max="1" width="25.83203125" style="9" customWidth="1"/>
    <col min="2" max="2" width="29.33203125" style="1" customWidth="1"/>
    <col min="3" max="3" width="12" style="1" customWidth="1"/>
    <col min="4" max="4" width="19.33203125" style="1" customWidth="1"/>
    <col min="5" max="5" width="22.1640625" style="1" customWidth="1"/>
    <col min="6" max="6" width="15.1640625" style="1" customWidth="1"/>
    <col min="7" max="7" width="16" style="1" customWidth="1"/>
    <col min="8" max="8" width="18" style="1" customWidth="1"/>
    <col min="9" max="10" width="15.5" style="1" customWidth="1"/>
    <col min="11" max="11" width="17.1640625" style="1" customWidth="1"/>
    <col min="12" max="12" width="15.6640625" style="1" customWidth="1"/>
    <col min="13" max="13" width="15.33203125" style="1" customWidth="1"/>
    <col min="14" max="14" width="17.33203125" style="1" customWidth="1"/>
    <col min="15" max="15" width="10.83203125" style="1"/>
    <col min="16" max="16" width="12.33203125" style="1" customWidth="1"/>
    <col min="17" max="17" width="16.33203125" style="1" customWidth="1"/>
    <col min="18" max="16384" width="10.83203125" style="1"/>
  </cols>
  <sheetData>
    <row r="1" spans="1:17" ht="20" customHeight="1" x14ac:dyDescent="0.2">
      <c r="A1" s="420" t="s">
        <v>632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18" customHeight="1" x14ac:dyDescent="0.2">
      <c r="A2" s="420" t="s">
        <v>437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x14ac:dyDescent="0.2">
      <c r="A3" s="125"/>
      <c r="B3" s="126"/>
      <c r="C3" s="126"/>
      <c r="D3" s="126"/>
      <c r="E3" s="126"/>
      <c r="F3" s="13"/>
    </row>
    <row r="4" spans="1:17" x14ac:dyDescent="0.2">
      <c r="A4" s="430" t="s">
        <v>426</v>
      </c>
      <c r="B4" s="431"/>
      <c r="C4" s="9">
        <f>2100/2500</f>
        <v>0.84</v>
      </c>
      <c r="D4" s="114"/>
      <c r="E4" s="90"/>
      <c r="F4" s="13"/>
    </row>
    <row r="5" spans="1:17" x14ac:dyDescent="0.2">
      <c r="B5" s="9"/>
      <c r="C5" s="9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x14ac:dyDescent="0.2">
      <c r="B6" s="9"/>
      <c r="C6" s="9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B7" s="9"/>
      <c r="C7" s="9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438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194.88</v>
      </c>
      <c r="E11" s="4">
        <f>D11*$E$10</f>
        <v>1364.1599999999999</v>
      </c>
      <c r="F11" s="4">
        <f>811*C4</f>
        <v>681.24</v>
      </c>
    </row>
    <row r="12" spans="1:17" ht="19" customHeight="1" x14ac:dyDescent="0.2">
      <c r="B12" s="1" t="s">
        <v>24</v>
      </c>
      <c r="D12" s="1">
        <f>30*C4</f>
        <v>25.2</v>
      </c>
      <c r="E12" s="1">
        <f t="shared" ref="E12:E16" si="0">D12*$E$10</f>
        <v>176.4</v>
      </c>
      <c r="G12" s="31">
        <f>'Price list REWE '!E9</f>
        <v>2.89</v>
      </c>
      <c r="H12" s="31">
        <f>G12/1000*D12</f>
        <v>7.2828000000000004E-2</v>
      </c>
      <c r="J12" s="42">
        <f>'Price list REWE '!H9</f>
        <v>2.89</v>
      </c>
      <c r="K12" s="42">
        <f>J12/1000*D12</f>
        <v>7.2828000000000004E-2</v>
      </c>
      <c r="M12" s="31">
        <f>'Price list ALDI Süd'!E9</f>
        <v>2.89</v>
      </c>
      <c r="N12" s="31">
        <f>M12/1000*D12</f>
        <v>7.2828000000000004E-2</v>
      </c>
      <c r="P12" s="42">
        <f>'Price list ALDI Süd'!H9</f>
        <v>2.89</v>
      </c>
      <c r="Q12" s="42">
        <f>P12/1000*D12</f>
        <v>7.2828000000000004E-2</v>
      </c>
    </row>
    <row r="13" spans="1:17" ht="17" x14ac:dyDescent="0.2">
      <c r="B13" s="1" t="s">
        <v>27</v>
      </c>
      <c r="D13" s="1">
        <f>50*C4</f>
        <v>42</v>
      </c>
      <c r="E13" s="1">
        <f t="shared" si="0"/>
        <v>294</v>
      </c>
      <c r="G13" s="31">
        <f>'Price list REWE '!E10</f>
        <v>1.58</v>
      </c>
      <c r="H13" s="31">
        <f>G13/1000*D13</f>
        <v>6.6360000000000002E-2</v>
      </c>
      <c r="J13" s="42">
        <f>'Price list REWE '!H10</f>
        <v>4.38</v>
      </c>
      <c r="K13" s="42">
        <f>J13/1000*D13</f>
        <v>0.18396000000000001</v>
      </c>
      <c r="M13" s="31">
        <f>'Price list ALDI Süd'!E10</f>
        <v>3.48</v>
      </c>
      <c r="N13" s="31">
        <f>M13/1000*D13</f>
        <v>0.14616000000000001</v>
      </c>
      <c r="P13" s="42">
        <f>'Price list ALDI Süd'!H10</f>
        <v>4.38</v>
      </c>
      <c r="Q13" s="42">
        <f>P13/1000*D13</f>
        <v>0.18396000000000001</v>
      </c>
    </row>
    <row r="14" spans="1:17" ht="17" x14ac:dyDescent="0.2">
      <c r="B14" s="1" t="s">
        <v>30</v>
      </c>
      <c r="D14" s="1">
        <f>50*C4</f>
        <v>42</v>
      </c>
      <c r="E14" s="1">
        <f t="shared" si="0"/>
        <v>294</v>
      </c>
      <c r="G14" s="31">
        <f>'Price list REWE '!E11</f>
        <v>2.13</v>
      </c>
      <c r="H14" s="31">
        <f>G14/1000*D14</f>
        <v>8.9459999999999998E-2</v>
      </c>
      <c r="J14" s="42">
        <f>'Price list REWE '!H11</f>
        <v>4.25</v>
      </c>
      <c r="K14" s="42">
        <f>J14/1000*D14</f>
        <v>0.17850000000000002</v>
      </c>
      <c r="M14" s="31">
        <f>'Price list ALDI Süd'!E11</f>
        <v>2.84</v>
      </c>
      <c r="N14" s="31">
        <f>M14/1000*D14</f>
        <v>0.11927999999999998</v>
      </c>
      <c r="P14" s="42">
        <f>'Price list ALDI Süd'!H11</f>
        <v>5.25</v>
      </c>
      <c r="Q14" s="42">
        <f>P14/1000*D14</f>
        <v>0.2205</v>
      </c>
    </row>
    <row r="15" spans="1:17" ht="17" x14ac:dyDescent="0.2">
      <c r="B15" s="1" t="s">
        <v>33</v>
      </c>
      <c r="D15" s="1">
        <f>40*C4</f>
        <v>33.6</v>
      </c>
      <c r="E15" s="1">
        <f>D15*$E$10</f>
        <v>235.20000000000002</v>
      </c>
      <c r="G15" s="31">
        <f>'Price list REWE '!E12</f>
        <v>1.58</v>
      </c>
      <c r="H15" s="31">
        <f>G15/1000*D15</f>
        <v>5.3088000000000003E-2</v>
      </c>
      <c r="J15" s="42">
        <f>'Price list REWE '!H12</f>
        <v>1.98</v>
      </c>
      <c r="K15" s="42">
        <f>J15/1000*D15</f>
        <v>6.6528000000000004E-2</v>
      </c>
      <c r="M15" s="31">
        <f>'Price list ALDI Süd'!E12</f>
        <v>1.58</v>
      </c>
      <c r="N15" s="31">
        <f>M15/1000*D15</f>
        <v>5.3088000000000003E-2</v>
      </c>
      <c r="P15" s="42">
        <f>'Price list ALDI Süd'!H12</f>
        <v>1.9</v>
      </c>
      <c r="Q15" s="42">
        <f>P15/1000*D15</f>
        <v>6.3840000000000008E-2</v>
      </c>
    </row>
    <row r="16" spans="1:17" ht="17" x14ac:dyDescent="0.2">
      <c r="B16" s="1" t="s">
        <v>36</v>
      </c>
      <c r="D16" s="1">
        <f>62*C4</f>
        <v>52.08</v>
      </c>
      <c r="E16" s="1">
        <f t="shared" si="0"/>
        <v>364.56</v>
      </c>
      <c r="G16" s="31">
        <f>'Price list REWE '!E13</f>
        <v>3.58</v>
      </c>
      <c r="H16" s="31">
        <f>G16/1000*D16</f>
        <v>0.18644640000000001</v>
      </c>
      <c r="J16" s="42">
        <f>'Price list REWE '!H13</f>
        <v>2.98</v>
      </c>
      <c r="K16" s="42">
        <f>J16/1000*D16</f>
        <v>0.15519839999999999</v>
      </c>
      <c r="M16" s="31">
        <f>'Price list ALDI Süd'!E13</f>
        <v>2.98</v>
      </c>
      <c r="N16" s="31">
        <f>M16/1000*D16</f>
        <v>0.15519839999999999</v>
      </c>
      <c r="P16" s="42">
        <f>'Price list ALDI Süd'!H13</f>
        <v>2.98</v>
      </c>
      <c r="Q16" s="42">
        <f>P16/1000*D16</f>
        <v>0.15519839999999999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42</v>
      </c>
      <c r="E18" s="4">
        <f>D18*$E$10</f>
        <v>294</v>
      </c>
      <c r="F18" s="4">
        <f>39*C4</f>
        <v>32.76</v>
      </c>
      <c r="G18" s="12"/>
    </row>
    <row r="19" spans="1:17" ht="17" x14ac:dyDescent="0.2">
      <c r="B19" s="1" t="s">
        <v>41</v>
      </c>
      <c r="D19" s="1">
        <f>50*C4</f>
        <v>42</v>
      </c>
      <c r="E19" s="1">
        <f>D19*E10</f>
        <v>294</v>
      </c>
      <c r="G19" s="31">
        <f>'Price list REWE '!E16</f>
        <v>0.92</v>
      </c>
      <c r="H19" s="31">
        <f>G19/1000*D19</f>
        <v>3.8640000000000001E-2</v>
      </c>
      <c r="J19" s="42">
        <f>'Price list REWE '!H16</f>
        <v>1.53</v>
      </c>
      <c r="K19" s="42">
        <f>J19/1000*D19</f>
        <v>6.4260000000000012E-2</v>
      </c>
      <c r="M19" s="31">
        <f>'Price list ALDI Süd'!E16</f>
        <v>0.96</v>
      </c>
      <c r="N19" s="31">
        <f>M19/1000*D19</f>
        <v>4.0319999999999995E-2</v>
      </c>
      <c r="P19" s="42">
        <f>'Price list ALDI Süd'!H16</f>
        <v>1.46</v>
      </c>
      <c r="Q19" s="42">
        <f>P19/1000*D19</f>
        <v>6.132E-2</v>
      </c>
    </row>
    <row r="20" spans="1:17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252</v>
      </c>
      <c r="E21" s="4">
        <f>D21*$E$10</f>
        <v>1764</v>
      </c>
    </row>
    <row r="22" spans="1:17" x14ac:dyDescent="0.2">
      <c r="C22" s="6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84</v>
      </c>
      <c r="E23" s="4">
        <f>D23*7</f>
        <v>588</v>
      </c>
      <c r="F23" s="4">
        <f>23*C4</f>
        <v>19.32</v>
      </c>
      <c r="G23" s="12"/>
    </row>
    <row r="24" spans="1:17" ht="17" x14ac:dyDescent="0.2">
      <c r="B24" s="16" t="s">
        <v>392</v>
      </c>
      <c r="C24" s="340">
        <v>8.1854823894030371E-2</v>
      </c>
      <c r="D24" s="6">
        <f>C24*$D$23</f>
        <v>6.8758052070985514</v>
      </c>
      <c r="E24" s="1">
        <f>D24*7</f>
        <v>48.13063644968986</v>
      </c>
      <c r="G24" s="33">
        <f>'Price list REWE '!E21</f>
        <v>3.0944625407166124</v>
      </c>
      <c r="H24" s="31">
        <f t="shared" ref="H24:H31" si="1">G24/1000*D24</f>
        <v>2.1276921650630699E-2</v>
      </c>
      <c r="J24" s="42">
        <f>'Price list REWE '!H21</f>
        <v>3.0944625407166124</v>
      </c>
      <c r="K24" s="42">
        <f t="shared" ref="K24:K31" si="2">J24/1000*D24</f>
        <v>2.1276921650630699E-2</v>
      </c>
      <c r="M24" s="31">
        <f>'Price list ALDI Süd'!E21</f>
        <v>2.2475570032573291</v>
      </c>
      <c r="N24" s="31">
        <f t="shared" ref="N24:N31" si="3">M24/1000*D24</f>
        <v>1.5453764146247559E-2</v>
      </c>
      <c r="P24" s="42">
        <f>'Price list ALDI Süd'!H21</f>
        <v>2.2475570032573291</v>
      </c>
      <c r="Q24" s="42">
        <f t="shared" ref="Q24:Q31" si="4">P24/1000*D24</f>
        <v>1.5453764146247559E-2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5">C25*$D$23</f>
        <v>3.5138356362188032</v>
      </c>
      <c r="E25" s="1">
        <f t="shared" ref="E25:E31" si="6">D25*7</f>
        <v>24.596849453531622</v>
      </c>
      <c r="G25" s="33">
        <f>'Price list REWE '!E22</f>
        <v>2.875</v>
      </c>
      <c r="H25" s="31">
        <f t="shared" si="1"/>
        <v>1.0102277454129059E-2</v>
      </c>
      <c r="J25" s="42">
        <f>'Price list REWE '!H22</f>
        <v>5.98</v>
      </c>
      <c r="K25" s="42">
        <f t="shared" si="2"/>
        <v>2.1012737104588442E-2</v>
      </c>
      <c r="M25" s="31">
        <f>'Price list ALDI Süd'!E22</f>
        <v>2.875</v>
      </c>
      <c r="N25" s="31">
        <f t="shared" si="3"/>
        <v>1.0102277454129059E-2</v>
      </c>
      <c r="P25" s="42">
        <f>'Price list ALDI Süd'!H22</f>
        <v>11.96</v>
      </c>
      <c r="Q25" s="42">
        <f t="shared" si="4"/>
        <v>4.2025474209176884E-2</v>
      </c>
    </row>
    <row r="26" spans="1:17" ht="17" x14ac:dyDescent="0.2">
      <c r="B26" s="16" t="s">
        <v>51</v>
      </c>
      <c r="C26" s="340">
        <v>5.5140886754685689E-2</v>
      </c>
      <c r="D26" s="6">
        <f t="shared" si="5"/>
        <v>4.6318344873935979</v>
      </c>
      <c r="E26" s="1">
        <f t="shared" si="6"/>
        <v>32.422841411755186</v>
      </c>
      <c r="G26" s="33">
        <f>'Price list REWE '!E23</f>
        <v>1.76</v>
      </c>
      <c r="H26" s="31">
        <f t="shared" si="1"/>
        <v>8.1520286978127333E-3</v>
      </c>
      <c r="J26" s="42">
        <f>'Price list REWE '!H23</f>
        <v>3.32</v>
      </c>
      <c r="K26" s="42">
        <f t="shared" si="2"/>
        <v>1.5377690498146745E-2</v>
      </c>
      <c r="M26" s="31">
        <f>'Price list ALDI Süd'!E23</f>
        <v>1.99</v>
      </c>
      <c r="N26" s="31">
        <f t="shared" si="3"/>
        <v>9.2173506299132596E-3</v>
      </c>
      <c r="P26" s="42">
        <f>'Price list ALDI Süd'!H23</f>
        <v>3.32</v>
      </c>
      <c r="Q26" s="42">
        <f t="shared" si="4"/>
        <v>1.5377690498146745E-2</v>
      </c>
    </row>
    <row r="27" spans="1:17" ht="17" x14ac:dyDescent="0.2">
      <c r="B27" s="16" t="s">
        <v>394</v>
      </c>
      <c r="C27" s="340">
        <v>7.8411761271535096E-2</v>
      </c>
      <c r="D27" s="6">
        <f t="shared" si="5"/>
        <v>6.5865879468089483</v>
      </c>
      <c r="E27" s="1">
        <f t="shared" si="6"/>
        <v>46.106115627662639</v>
      </c>
      <c r="G27" s="33">
        <f>'Price list REWE '!E24</f>
        <v>1.8349928876244666</v>
      </c>
      <c r="H27" s="31">
        <f t="shared" si="1"/>
        <v>1.2086342036107457E-2</v>
      </c>
      <c r="J27" s="42">
        <f>'Price list REWE '!H24</f>
        <v>3.8264580369843526</v>
      </c>
      <c r="K27" s="42">
        <f t="shared" si="2"/>
        <v>2.5203302385371367E-2</v>
      </c>
      <c r="M27" s="31">
        <f>'Price list ALDI Süd'!E24</f>
        <v>1.4082503556187767</v>
      </c>
      <c r="N27" s="31">
        <f t="shared" si="3"/>
        <v>9.2755648184080497E-3</v>
      </c>
      <c r="P27" s="42">
        <f>'Price list ALDI Süd'!H24</f>
        <v>3.8264580369843526</v>
      </c>
      <c r="Q27" s="42">
        <f t="shared" si="4"/>
        <v>2.5203302385371367E-2</v>
      </c>
    </row>
    <row r="28" spans="1:17" ht="17" x14ac:dyDescent="0.2">
      <c r="B28" s="16" t="s">
        <v>395</v>
      </c>
      <c r="C28" s="340">
        <v>0.10804527200358816</v>
      </c>
      <c r="D28" s="6">
        <f t="shared" si="5"/>
        <v>9.0758028483014055</v>
      </c>
      <c r="E28" s="1">
        <f t="shared" si="6"/>
        <v>63.530619938109837</v>
      </c>
      <c r="G28" s="33">
        <f>'Price list REWE '!E25</f>
        <v>6.2402088772845961</v>
      </c>
      <c r="H28" s="31">
        <f t="shared" si="1"/>
        <v>5.6634905502455257E-2</v>
      </c>
      <c r="J28" s="42">
        <f>'Price list REWE '!H25</f>
        <v>6.5013054830287214</v>
      </c>
      <c r="K28" s="42">
        <f t="shared" si="2"/>
        <v>5.9004566820549609E-2</v>
      </c>
      <c r="M28" s="31">
        <f>'Price list ALDI Süd'!E25</f>
        <v>4.125</v>
      </c>
      <c r="N28" s="31">
        <f t="shared" si="3"/>
        <v>3.7437686749243297E-2</v>
      </c>
      <c r="P28" s="42">
        <f>'Price list ALDI Süd'!H25</f>
        <v>7.041666666666667</v>
      </c>
      <c r="Q28" s="42">
        <f t="shared" si="4"/>
        <v>6.3908778390122392E-2</v>
      </c>
    </row>
    <row r="29" spans="1:17" ht="17" x14ac:dyDescent="0.2">
      <c r="B29" s="16" t="s">
        <v>396</v>
      </c>
      <c r="C29" s="340">
        <v>0.24433687491347134</v>
      </c>
      <c r="D29" s="6">
        <f t="shared" si="5"/>
        <v>20.524297492731591</v>
      </c>
      <c r="E29" s="1">
        <f t="shared" si="6"/>
        <v>143.67008244912114</v>
      </c>
      <c r="G29" s="33">
        <f>'Price list REWE '!E26</f>
        <v>1.0745614035087721</v>
      </c>
      <c r="H29" s="31">
        <f t="shared" si="1"/>
        <v>2.2054617919821232E-2</v>
      </c>
      <c r="J29" s="42">
        <f>'Price list REWE '!H26</f>
        <v>3.2675438596491229</v>
      </c>
      <c r="K29" s="42">
        <f t="shared" si="2"/>
        <v>6.7064042245986999E-2</v>
      </c>
      <c r="M29" s="31">
        <f>'Price list ALDI Süd'!E26</f>
        <v>1.0745614035087721</v>
      </c>
      <c r="N29" s="31">
        <f t="shared" si="3"/>
        <v>2.2054617919821232E-2</v>
      </c>
      <c r="P29" s="42">
        <f>'Price list ALDI Süd'!H26</f>
        <v>1.2938596491228069</v>
      </c>
      <c r="Q29" s="42">
        <f t="shared" si="4"/>
        <v>2.6555560352437804E-2</v>
      </c>
    </row>
    <row r="30" spans="1:17" ht="17" x14ac:dyDescent="0.2">
      <c r="B30" s="16" t="s">
        <v>63</v>
      </c>
      <c r="C30" s="340">
        <v>0.19518950227051848</v>
      </c>
      <c r="D30" s="6">
        <f t="shared" si="5"/>
        <v>16.395918190723552</v>
      </c>
      <c r="E30" s="1">
        <f t="shared" si="6"/>
        <v>114.77142733506487</v>
      </c>
      <c r="G30" s="33">
        <f>'Price list REWE '!E27</f>
        <v>1.79</v>
      </c>
      <c r="H30" s="31">
        <f t="shared" si="1"/>
        <v>2.9348693561395162E-2</v>
      </c>
      <c r="J30" s="42">
        <f>'Price list REWE '!H27</f>
        <v>3.58</v>
      </c>
      <c r="K30" s="42">
        <f t="shared" si="2"/>
        <v>5.8697387122790323E-2</v>
      </c>
      <c r="M30" s="31">
        <f>'Price list ALDI Süd'!E27</f>
        <v>1.49</v>
      </c>
      <c r="N30" s="31">
        <f t="shared" si="3"/>
        <v>2.4429918104178092E-2</v>
      </c>
      <c r="P30" s="42">
        <f>'Price list ALDI Süd'!H27</f>
        <v>1.78</v>
      </c>
      <c r="Q30" s="42">
        <f t="shared" si="4"/>
        <v>2.9184734379487924E-2</v>
      </c>
    </row>
    <row r="31" spans="1:17" ht="17" x14ac:dyDescent="0.2">
      <c r="B31" s="16" t="s">
        <v>66</v>
      </c>
      <c r="C31" s="340">
        <v>0.19518950227051848</v>
      </c>
      <c r="D31" s="6">
        <f t="shared" si="5"/>
        <v>16.395918190723552</v>
      </c>
      <c r="E31" s="1">
        <f t="shared" si="6"/>
        <v>114.77142733506487</v>
      </c>
      <c r="G31" s="33">
        <f>'Price list REWE '!E28</f>
        <v>1.99</v>
      </c>
      <c r="H31" s="31">
        <f t="shared" si="1"/>
        <v>3.262787719953987E-2</v>
      </c>
      <c r="J31" s="42">
        <f>'Price list REWE '!H28</f>
        <v>5.3</v>
      </c>
      <c r="K31" s="42">
        <f t="shared" si="2"/>
        <v>8.6898366410834829E-2</v>
      </c>
      <c r="M31" s="31">
        <f>'Price list ALDI Süd'!E28</f>
        <v>1.99</v>
      </c>
      <c r="N31" s="31">
        <f t="shared" si="3"/>
        <v>3.262787719953987E-2</v>
      </c>
      <c r="P31" s="42">
        <f>'Price list ALDI Süd'!H28</f>
        <v>5.3</v>
      </c>
      <c r="Q31" s="42">
        <f t="shared" si="4"/>
        <v>8.6898366410834829E-2</v>
      </c>
    </row>
    <row r="32" spans="1:17" x14ac:dyDescent="0.2">
      <c r="A32" s="9">
        <v>8</v>
      </c>
      <c r="B32" s="16"/>
      <c r="C32" s="340"/>
      <c r="G32" s="33"/>
      <c r="H32" s="31"/>
      <c r="J32" s="42"/>
      <c r="K32" s="42"/>
      <c r="M32" s="31"/>
      <c r="N32" s="31"/>
      <c r="P32" s="42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84</v>
      </c>
      <c r="F33" s="4">
        <f>30*C4</f>
        <v>25.2</v>
      </c>
      <c r="G33" s="12"/>
    </row>
    <row r="34" spans="1:17" ht="17" x14ac:dyDescent="0.2">
      <c r="B34" s="23" t="s">
        <v>70</v>
      </c>
      <c r="C34" s="340">
        <v>0.21012979994107583</v>
      </c>
      <c r="D34" s="6">
        <f>C34*D33</f>
        <v>17.650903195050368</v>
      </c>
      <c r="E34" s="1">
        <f t="shared" ref="E34:E39" si="7">D34*7</f>
        <v>123.55632236535257</v>
      </c>
      <c r="G34" s="33">
        <f>'Price list REWE '!E31</f>
        <v>1.75</v>
      </c>
      <c r="H34" s="31">
        <f t="shared" ref="H34:H39" si="8">G34/1000*D34</f>
        <v>3.0889080591338144E-2</v>
      </c>
      <c r="J34" s="42">
        <f>'Price list REWE '!H31</f>
        <v>2.79</v>
      </c>
      <c r="K34" s="42">
        <f t="shared" ref="K34:K39" si="9">J34/1000*D34</f>
        <v>4.9246019914190524E-2</v>
      </c>
      <c r="M34" s="31">
        <f>'Price list ALDI Süd'!E31</f>
        <v>1.5</v>
      </c>
      <c r="N34" s="31">
        <f t="shared" ref="N34:N39" si="10">M34/1000*D34</f>
        <v>2.6476354792575554E-2</v>
      </c>
      <c r="P34" s="42">
        <f>'Price list ALDI Süd'!H31</f>
        <v>2.19</v>
      </c>
      <c r="Q34" s="42">
        <f t="shared" ref="Q34:Q39" si="11">P34/1000*D34</f>
        <v>3.8655477997160306E-2</v>
      </c>
    </row>
    <row r="35" spans="1:17" ht="17" x14ac:dyDescent="0.2">
      <c r="B35" s="16" t="s">
        <v>73</v>
      </c>
      <c r="C35" s="340">
        <v>0.19042830974833957</v>
      </c>
      <c r="D35" s="6">
        <f>C35*D33</f>
        <v>15.995978018860525</v>
      </c>
      <c r="E35" s="1">
        <f t="shared" si="7"/>
        <v>111.97184613202367</v>
      </c>
      <c r="G35" s="33">
        <f>'Price list REWE '!E32</f>
        <v>2.79</v>
      </c>
      <c r="H35" s="31">
        <f t="shared" si="8"/>
        <v>4.4628778672620863E-2</v>
      </c>
      <c r="J35" s="42">
        <f>'Price list REWE '!H32</f>
        <v>5.18</v>
      </c>
      <c r="K35" s="42">
        <f t="shared" si="9"/>
        <v>8.2859166137697518E-2</v>
      </c>
      <c r="M35" s="31">
        <f>'Price list ALDI Süd'!E32</f>
        <v>1.79</v>
      </c>
      <c r="N35" s="31">
        <f t="shared" si="10"/>
        <v>2.8632800653760341E-2</v>
      </c>
      <c r="P35" s="42">
        <f>'Price list ALDI Süd'!H32</f>
        <v>4.58</v>
      </c>
      <c r="Q35" s="42">
        <f t="shared" si="11"/>
        <v>7.3261579326381207E-2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15.995978018860525</v>
      </c>
      <c r="E36" s="1">
        <f t="shared" si="7"/>
        <v>111.97184613202367</v>
      </c>
      <c r="G36" s="33">
        <f>'Price list REWE '!E33</f>
        <v>1.7</v>
      </c>
      <c r="H36" s="31">
        <f t="shared" si="8"/>
        <v>2.7193162632062891E-2</v>
      </c>
      <c r="J36" s="42">
        <f>'Price list REWE '!H33</f>
        <v>2.27</v>
      </c>
      <c r="K36" s="42">
        <f t="shared" si="9"/>
        <v>3.6310870102813392E-2</v>
      </c>
      <c r="M36" s="31">
        <f>'Price list ALDI Süd'!E33</f>
        <v>1.7</v>
      </c>
      <c r="N36" s="31">
        <f t="shared" si="10"/>
        <v>2.7193162632062891E-2</v>
      </c>
      <c r="P36" s="42">
        <f>'Price list ALDI Süd'!H33</f>
        <v>1.98</v>
      </c>
      <c r="Q36" s="42">
        <f t="shared" si="11"/>
        <v>3.1672036477343839E-2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15.995978018860525</v>
      </c>
      <c r="E37" s="1">
        <f t="shared" si="7"/>
        <v>111.97184613202367</v>
      </c>
      <c r="G37" s="33">
        <f>'Price list REWE '!E34</f>
        <v>2.125</v>
      </c>
      <c r="H37" s="31">
        <f t="shared" si="8"/>
        <v>3.3991453290078619E-2</v>
      </c>
      <c r="J37" s="42">
        <f>'Price list REWE '!H34</f>
        <v>2.4750000000000001</v>
      </c>
      <c r="K37" s="42">
        <f t="shared" si="9"/>
        <v>3.95900455966798E-2</v>
      </c>
      <c r="M37" s="31">
        <f>'Price list ALDI Süd'!E34</f>
        <v>2</v>
      </c>
      <c r="N37" s="31">
        <f t="shared" si="10"/>
        <v>3.199195603772105E-2</v>
      </c>
      <c r="P37" s="42">
        <f>'Price list ALDI Süd'!H34</f>
        <v>2.4750000000000001</v>
      </c>
      <c r="Q37" s="42">
        <f t="shared" si="11"/>
        <v>3.95900455966798E-2</v>
      </c>
    </row>
    <row r="38" spans="1:17" ht="17" x14ac:dyDescent="0.2">
      <c r="B38" s="16" t="s">
        <v>82</v>
      </c>
      <c r="C38" s="340">
        <v>0.10929263540695267</v>
      </c>
      <c r="D38" s="6">
        <f t="shared" si="12"/>
        <v>9.1805813741840243</v>
      </c>
      <c r="E38" s="1">
        <f t="shared" si="7"/>
        <v>64.264069619288165</v>
      </c>
      <c r="G38" s="33">
        <f>'Price list REWE '!E35</f>
        <v>3.98</v>
      </c>
      <c r="H38" s="31">
        <f t="shared" si="8"/>
        <v>3.653871386925242E-2</v>
      </c>
      <c r="J38" s="42">
        <f>'Price list REWE '!H35</f>
        <v>6.99</v>
      </c>
      <c r="K38" s="42">
        <f t="shared" si="9"/>
        <v>6.4172263805546331E-2</v>
      </c>
      <c r="M38" s="31">
        <f>'Price list ALDI Süd'!E35</f>
        <v>3.79</v>
      </c>
      <c r="N38" s="31">
        <f t="shared" si="10"/>
        <v>3.4794403408157454E-2</v>
      </c>
      <c r="P38" s="42">
        <f>'Price list ALDI Süd'!H35</f>
        <v>4.4800000000000004</v>
      </c>
      <c r="Q38" s="42">
        <f t="shared" si="11"/>
        <v>4.1129004556344433E-2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9.1805813741840243</v>
      </c>
      <c r="E39" s="1">
        <f t="shared" si="7"/>
        <v>64.264069619288165</v>
      </c>
      <c r="G39" s="76">
        <f>'Price list REWE '!E36</f>
        <v>2.9289940828402368</v>
      </c>
      <c r="H39" s="31">
        <f t="shared" si="8"/>
        <v>2.6889868522018297E-2</v>
      </c>
      <c r="J39" s="42">
        <f>'Price list REWE '!H36</f>
        <v>3.8165680473372783</v>
      </c>
      <c r="K39" s="42">
        <f t="shared" si="9"/>
        <v>3.503831352869051E-2</v>
      </c>
      <c r="M39" s="31">
        <f>'Price list ALDI Süd'!E36</f>
        <v>2.3372781065088759</v>
      </c>
      <c r="N39" s="31">
        <f t="shared" si="10"/>
        <v>2.1457571850903488E-2</v>
      </c>
      <c r="P39" s="42">
        <f>'Price list ALDI Süd'!H36</f>
        <v>3.8165680473372783</v>
      </c>
      <c r="Q39" s="42">
        <f t="shared" si="11"/>
        <v>3.503831352869051E-2</v>
      </c>
    </row>
    <row r="40" spans="1:17" x14ac:dyDescent="0.2">
      <c r="A40" s="9">
        <v>6</v>
      </c>
      <c r="C40" s="340"/>
      <c r="D40" s="6"/>
      <c r="G40" s="35"/>
      <c r="H40" s="31"/>
      <c r="J40" s="42"/>
      <c r="K40" s="42"/>
      <c r="M40" s="31"/>
      <c r="N40" s="31"/>
      <c r="P40" s="42"/>
      <c r="Q40" s="42"/>
    </row>
    <row r="41" spans="1:17" s="4" customFormat="1" ht="17" x14ac:dyDescent="0.2">
      <c r="A41" s="12"/>
      <c r="B41" s="186" t="s">
        <v>88</v>
      </c>
      <c r="C41" s="341"/>
      <c r="D41" s="29">
        <f>100*C4</f>
        <v>84</v>
      </c>
      <c r="F41" s="4">
        <f>25*C4</f>
        <v>21</v>
      </c>
      <c r="G41" s="12"/>
    </row>
    <row r="42" spans="1:17" ht="17" x14ac:dyDescent="0.2">
      <c r="B42" s="16" t="s">
        <v>89</v>
      </c>
      <c r="C42" s="340">
        <v>0.24393305975418372</v>
      </c>
      <c r="D42" s="1">
        <f>C42*$D$41</f>
        <v>20.490377019351431</v>
      </c>
      <c r="E42" s="1">
        <f>D42*7</f>
        <v>143.43263913546002</v>
      </c>
      <c r="G42" s="33">
        <f>'Price list REWE '!E39</f>
        <v>1.49</v>
      </c>
      <c r="H42" s="31">
        <f>G42/1000*D42</f>
        <v>3.0530661758833632E-2</v>
      </c>
      <c r="J42" s="42">
        <f>'Price list REWE '!H39</f>
        <v>1.49</v>
      </c>
      <c r="K42" s="42">
        <f>J42/1000*D42</f>
        <v>3.0530661758833632E-2</v>
      </c>
      <c r="M42" s="31">
        <f>'Price list ALDI Süd'!E39</f>
        <v>1.49</v>
      </c>
      <c r="N42" s="31">
        <f>M42/1000*D42</f>
        <v>3.0530661758833632E-2</v>
      </c>
      <c r="P42" s="42">
        <f>'Price list ALDI Süd'!H39</f>
        <v>1.49</v>
      </c>
      <c r="Q42" s="42">
        <f>P42/1000*D42</f>
        <v>3.0530661758833632E-2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8.9294572446063984</v>
      </c>
      <c r="E43" s="1">
        <f>D43*7</f>
        <v>62.506200712244791</v>
      </c>
      <c r="G43" s="31">
        <f>'Price list REWE '!E40</f>
        <v>1.99</v>
      </c>
      <c r="H43" s="31">
        <f>G43/1000*D43</f>
        <v>1.7769619916766732E-2</v>
      </c>
      <c r="J43" s="42">
        <f>'Price list REWE '!H40</f>
        <v>7.3</v>
      </c>
      <c r="K43" s="42">
        <f>J43/1000*D43</f>
        <v>6.5185037885626712E-2</v>
      </c>
      <c r="M43" s="31">
        <f>'Price list ALDI Süd'!E40</f>
        <v>1.99</v>
      </c>
      <c r="N43" s="31">
        <f>M43/1000*D43</f>
        <v>1.7769619916766732E-2</v>
      </c>
      <c r="P43" s="42">
        <f>'Price list ALDI Süd'!H40</f>
        <v>3.32</v>
      </c>
      <c r="Q43" s="42">
        <f>P43/1000*D43</f>
        <v>2.9645798052093244E-2</v>
      </c>
    </row>
    <row r="44" spans="1:17" ht="17" x14ac:dyDescent="0.2">
      <c r="B44" s="16" t="s">
        <v>94</v>
      </c>
      <c r="C44" s="87">
        <v>0.46774770023805184</v>
      </c>
      <c r="D44" s="1">
        <f t="shared" si="13"/>
        <v>39.290806819996355</v>
      </c>
      <c r="E44" s="1">
        <f>D44*7</f>
        <v>275.03564773997448</v>
      </c>
      <c r="G44" s="33">
        <f>'Price list REWE '!E41</f>
        <v>1.79</v>
      </c>
      <c r="H44" s="31">
        <f>G44/1000*D44</f>
        <v>7.0330544207793486E-2</v>
      </c>
      <c r="J44" s="42">
        <f>'Price list REWE '!H41</f>
        <v>3.05</v>
      </c>
      <c r="K44" s="42">
        <f>J44/1000*D44</f>
        <v>0.11983696080098888</v>
      </c>
      <c r="M44" s="31">
        <f>'Price list ALDI Süd'!E41</f>
        <v>1.99</v>
      </c>
      <c r="N44" s="31">
        <f>M44/1000*D44</f>
        <v>7.8188705571792749E-2</v>
      </c>
      <c r="P44" s="42">
        <f>'Price list ALDI Süd'!H41</f>
        <v>1.99</v>
      </c>
      <c r="Q44" s="42">
        <f>P44/1000*D44</f>
        <v>7.8188705571792749E-2</v>
      </c>
    </row>
    <row r="45" spans="1:17" ht="17" x14ac:dyDescent="0.2">
      <c r="B45" s="16" t="s">
        <v>398</v>
      </c>
      <c r="C45" s="87">
        <v>0.10260798307610458</v>
      </c>
      <c r="D45" s="1">
        <f t="shared" si="13"/>
        <v>8.619070578392785</v>
      </c>
      <c r="E45" s="1">
        <f>D45*7</f>
        <v>60.333494048749493</v>
      </c>
      <c r="G45" s="33">
        <f>'Price list REWE '!E42</f>
        <v>6.99</v>
      </c>
      <c r="H45" s="31">
        <f>G45/1000*D45</f>
        <v>6.0247303342965575E-2</v>
      </c>
      <c r="J45" s="42">
        <f>'Price list REWE '!H42</f>
        <v>9.9600000000000009</v>
      </c>
      <c r="K45" s="42">
        <f>J45/1000*D45</f>
        <v>8.5845942960792135E-2</v>
      </c>
      <c r="M45" s="31">
        <f>'Price list ALDI Süd'!E42</f>
        <v>4.9800000000000004</v>
      </c>
      <c r="N45" s="31">
        <f>M45/1000*D45</f>
        <v>4.2922971480396067E-2</v>
      </c>
      <c r="P45" s="42">
        <f>'Price list ALDI Süd'!H42</f>
        <v>7.16</v>
      </c>
      <c r="Q45" s="42">
        <f>P45/1000*D45</f>
        <v>6.1712545341292342E-2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6.6702883376530338</v>
      </c>
      <c r="E46" s="1">
        <f>D46*7</f>
        <v>46.692018363571236</v>
      </c>
      <c r="G46" s="33">
        <f>'Price list REWE '!E43</f>
        <v>10</v>
      </c>
      <c r="H46" s="31">
        <f>G46/1000*D46</f>
        <v>6.6702883376530339E-2</v>
      </c>
      <c r="J46" s="42">
        <f>'Price list REWE '!H43</f>
        <v>10</v>
      </c>
      <c r="K46" s="42">
        <f>J46/1000*D46</f>
        <v>6.6702883376530339E-2</v>
      </c>
      <c r="M46" s="31">
        <f>'Price list ALDI Süd'!E43</f>
        <v>9.9</v>
      </c>
      <c r="N46" s="31">
        <f>M46/1000*D46</f>
        <v>6.6035854542765046E-2</v>
      </c>
      <c r="P46" s="42">
        <f>'Price list ALDI Süd'!H43</f>
        <v>9.9</v>
      </c>
      <c r="Q46" s="42">
        <f>P46/1000*D46</f>
        <v>6.6035854542765046E-2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168</v>
      </c>
      <c r="E48" s="4">
        <f>D48*$E$10</f>
        <v>1176</v>
      </c>
      <c r="F48" s="4">
        <f>126*C4</f>
        <v>105.83999999999999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75.542922901353734</v>
      </c>
      <c r="E49" s="1">
        <f t="shared" ref="E49:E58" si="14">D49*$E$10</f>
        <v>528.80046030947619</v>
      </c>
      <c r="G49" s="58">
        <f>'Price list REWE '!E46</f>
        <v>1.19</v>
      </c>
      <c r="H49" s="31">
        <f t="shared" ref="H49:H58" si="15">G49/1000*D49</f>
        <v>8.9896078252610936E-2</v>
      </c>
      <c r="J49" s="42">
        <f>'Price list REWE '!H46</f>
        <v>2.99</v>
      </c>
      <c r="K49" s="42">
        <f t="shared" ref="K49:K58" si="16">J49/1000*D49</f>
        <v>0.22587333947504767</v>
      </c>
      <c r="M49" s="31">
        <f>'Price list ALDI Süd'!E46</f>
        <v>0.94499999999999995</v>
      </c>
      <c r="N49" s="31">
        <f t="shared" ref="N49:N58" si="17">M49/1000*D49</f>
        <v>7.1388062141779271E-2</v>
      </c>
      <c r="P49" s="42">
        <f>'Price list ALDI Süd'!H46</f>
        <v>1.92</v>
      </c>
      <c r="Q49" s="42">
        <f t="shared" ref="Q49:Q58" si="18">P49/1000*D49</f>
        <v>0.14504241197059917</v>
      </c>
    </row>
    <row r="50" spans="1:17" ht="17" x14ac:dyDescent="0.2">
      <c r="B50" s="26" t="s">
        <v>106</v>
      </c>
      <c r="C50" s="342">
        <v>4.5787970295011769E-2</v>
      </c>
      <c r="D50" s="1">
        <f t="shared" ref="D50:D58" si="19">C50*$D$48</f>
        <v>7.6923790095619768</v>
      </c>
      <c r="E50" s="1">
        <f t="shared" si="14"/>
        <v>53.84665306693384</v>
      </c>
      <c r="G50" s="58">
        <f>'Price list REWE '!E47</f>
        <v>1.79</v>
      </c>
      <c r="H50" s="31">
        <f t="shared" si="15"/>
        <v>1.376935842711594E-2</v>
      </c>
      <c r="J50" s="42">
        <f>'Price list REWE '!H47</f>
        <v>3.65</v>
      </c>
      <c r="K50" s="42">
        <f t="shared" si="16"/>
        <v>2.8077183384901217E-2</v>
      </c>
      <c r="M50" s="31">
        <f>'Price list ALDI Süd'!E47</f>
        <v>1.79</v>
      </c>
      <c r="N50" s="31">
        <f t="shared" si="17"/>
        <v>1.376935842711594E-2</v>
      </c>
      <c r="P50" s="42">
        <f>'Price list ALDI Süd'!H47</f>
        <v>3.65</v>
      </c>
      <c r="Q50" s="42">
        <f t="shared" si="18"/>
        <v>2.8077183384901217E-2</v>
      </c>
    </row>
    <row r="51" spans="1:17" ht="17" x14ac:dyDescent="0.2">
      <c r="B51" s="26" t="s">
        <v>109</v>
      </c>
      <c r="C51" s="342">
        <v>2.019481503339627E-2</v>
      </c>
      <c r="D51" s="1">
        <f t="shared" si="19"/>
        <v>3.3927289256105735</v>
      </c>
      <c r="E51" s="1">
        <f t="shared" si="14"/>
        <v>23.749102479274015</v>
      </c>
      <c r="G51" s="58">
        <f>'Price list REWE '!E48</f>
        <v>4.99</v>
      </c>
      <c r="H51" s="31">
        <f t="shared" si="15"/>
        <v>1.6929717338796762E-2</v>
      </c>
      <c r="J51" s="42">
        <f>'Price list REWE '!H48</f>
        <v>4.99</v>
      </c>
      <c r="K51" s="42">
        <f t="shared" si="16"/>
        <v>1.6929717338796762E-2</v>
      </c>
      <c r="M51" s="31">
        <f>'Price list ALDI Süd'!E48</f>
        <v>3.98</v>
      </c>
      <c r="N51" s="31">
        <f t="shared" si="17"/>
        <v>1.3503061123930083E-2</v>
      </c>
      <c r="P51" s="42">
        <f>'Price list ALDI Süd'!H48</f>
        <v>3.98</v>
      </c>
      <c r="Q51" s="42">
        <f t="shared" si="18"/>
        <v>1.3503061123930083E-2</v>
      </c>
    </row>
    <row r="52" spans="1:17" ht="17" x14ac:dyDescent="0.2">
      <c r="B52" s="26" t="s">
        <v>111</v>
      </c>
      <c r="C52" s="342">
        <v>2.0560497203855613E-2</v>
      </c>
      <c r="D52" s="1">
        <f t="shared" si="19"/>
        <v>3.4541635302477429</v>
      </c>
      <c r="E52" s="1">
        <f t="shared" si="14"/>
        <v>24.1791447117342</v>
      </c>
      <c r="G52" s="58">
        <f>'Price list REWE '!E49</f>
        <v>7.98</v>
      </c>
      <c r="H52" s="31">
        <f t="shared" si="15"/>
        <v>2.7564224971376991E-2</v>
      </c>
      <c r="J52" s="42">
        <f>'Price list REWE '!H49</f>
        <v>10.63</v>
      </c>
      <c r="K52" s="42">
        <f t="shared" si="16"/>
        <v>3.6717758326533512E-2</v>
      </c>
      <c r="M52" s="31">
        <f>'Price list ALDI Süd'!E49</f>
        <v>7.98</v>
      </c>
      <c r="N52" s="31">
        <f t="shared" si="17"/>
        <v>2.7564224971376991E-2</v>
      </c>
      <c r="P52" s="42">
        <f>'Price list ALDI Süd'!H49</f>
        <v>9.9700000000000006</v>
      </c>
      <c r="Q52" s="42">
        <f t="shared" si="18"/>
        <v>3.4438010396570004E-2</v>
      </c>
    </row>
    <row r="53" spans="1:17" ht="17" x14ac:dyDescent="0.2">
      <c r="B53" s="26" t="s">
        <v>114</v>
      </c>
      <c r="C53" s="342">
        <v>1.772181875645604E-2</v>
      </c>
      <c r="D53" s="1">
        <f t="shared" si="19"/>
        <v>2.9772655510846149</v>
      </c>
      <c r="E53" s="1">
        <f t="shared" si="14"/>
        <v>20.840858857592305</v>
      </c>
      <c r="G53" s="58">
        <f>'Price list REWE '!E50</f>
        <v>5.98</v>
      </c>
      <c r="H53" s="31">
        <f t="shared" si="15"/>
        <v>1.7804047995485996E-2</v>
      </c>
      <c r="J53" s="42">
        <f>'Price list REWE '!H50</f>
        <v>10.63</v>
      </c>
      <c r="K53" s="42">
        <f t="shared" si="16"/>
        <v>3.1648332808029457E-2</v>
      </c>
      <c r="M53" s="31">
        <f>'Price list ALDI Süd'!E50</f>
        <v>5.98</v>
      </c>
      <c r="N53" s="31">
        <f t="shared" si="17"/>
        <v>1.7804047995485996E-2</v>
      </c>
      <c r="P53" s="42">
        <f>'Price list ALDI Süd'!H50</f>
        <v>9.9700000000000006</v>
      </c>
      <c r="Q53" s="42">
        <f t="shared" si="18"/>
        <v>2.9683337544313616E-2</v>
      </c>
    </row>
    <row r="54" spans="1:17" ht="17" x14ac:dyDescent="0.2">
      <c r="B54" s="26" t="s">
        <v>117</v>
      </c>
      <c r="C54" s="342">
        <v>7.018785236884495E-2</v>
      </c>
      <c r="D54" s="1">
        <f t="shared" si="19"/>
        <v>11.791559197965952</v>
      </c>
      <c r="E54" s="1">
        <f t="shared" si="14"/>
        <v>82.540914385761667</v>
      </c>
      <c r="G54" s="58">
        <f>'Price list REWE '!E51</f>
        <v>5.58</v>
      </c>
      <c r="H54" s="31">
        <f t="shared" si="15"/>
        <v>6.5796900324650007E-2</v>
      </c>
      <c r="J54" s="42">
        <f>'Price list REWE '!H51</f>
        <v>5.58</v>
      </c>
      <c r="K54" s="42">
        <f t="shared" si="16"/>
        <v>6.5796900324650007E-2</v>
      </c>
      <c r="M54" s="31">
        <f>'Price list ALDI Süd'!E51</f>
        <v>3.99</v>
      </c>
      <c r="N54" s="31">
        <f t="shared" si="17"/>
        <v>4.7048321199884155E-2</v>
      </c>
      <c r="P54" s="42">
        <f>'Price list ALDI Süd'!H51</f>
        <v>9.9700000000000006</v>
      </c>
      <c r="Q54" s="42">
        <f t="shared" si="18"/>
        <v>0.11756184520372057</v>
      </c>
    </row>
    <row r="55" spans="1:17" ht="17" x14ac:dyDescent="0.2">
      <c r="B55" s="26" t="s">
        <v>119</v>
      </c>
      <c r="C55" s="342">
        <v>9.5944736748873077E-2</v>
      </c>
      <c r="D55" s="1">
        <f t="shared" si="19"/>
        <v>16.118715773810678</v>
      </c>
      <c r="E55" s="1">
        <f t="shared" si="14"/>
        <v>112.83101041667474</v>
      </c>
      <c r="G55" s="58">
        <f>'Price list REWE '!E52</f>
        <v>3.58</v>
      </c>
      <c r="H55" s="31">
        <f t="shared" si="15"/>
        <v>5.7705002470242232E-2</v>
      </c>
      <c r="J55" s="42">
        <f>'Price list REWE '!H52</f>
        <v>3.58</v>
      </c>
      <c r="K55" s="42">
        <f t="shared" si="16"/>
        <v>5.7705002470242232E-2</v>
      </c>
      <c r="M55" s="31">
        <f>'Price list ALDI Süd'!E52</f>
        <v>3.38</v>
      </c>
      <c r="N55" s="31">
        <f t="shared" si="17"/>
        <v>5.4481259315480084E-2</v>
      </c>
      <c r="P55" s="42">
        <f>'Price list ALDI Süd'!H52</f>
        <v>3.38</v>
      </c>
      <c r="Q55" s="42">
        <f t="shared" si="18"/>
        <v>5.4481259315480084E-2</v>
      </c>
    </row>
    <row r="56" spans="1:17" ht="17" x14ac:dyDescent="0.2">
      <c r="B56" s="26" t="s">
        <v>121</v>
      </c>
      <c r="C56" s="342">
        <v>0.21388130862220195</v>
      </c>
      <c r="D56" s="1">
        <f t="shared" si="19"/>
        <v>35.932059848529924</v>
      </c>
      <c r="E56" s="1">
        <f t="shared" si="14"/>
        <v>251.52441893970948</v>
      </c>
      <c r="G56" s="58">
        <f>'Price list REWE '!E53</f>
        <v>1.29</v>
      </c>
      <c r="H56" s="31">
        <f t="shared" si="15"/>
        <v>4.6352357204603609E-2</v>
      </c>
      <c r="J56" s="42">
        <f>'Price list REWE '!H53</f>
        <v>1.99</v>
      </c>
      <c r="K56" s="42">
        <f t="shared" si="16"/>
        <v>7.1504799098574545E-2</v>
      </c>
      <c r="M56" s="31">
        <f>'Price list ALDI Süd'!E53</f>
        <v>1.29</v>
      </c>
      <c r="N56" s="31">
        <f t="shared" si="17"/>
        <v>4.6352357204603609E-2</v>
      </c>
      <c r="P56" s="42">
        <f>'Price list ALDI Süd'!H53</f>
        <v>1.99</v>
      </c>
      <c r="Q56" s="42">
        <f t="shared" si="18"/>
        <v>7.1504799098574545E-2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1.9665876360254213</v>
      </c>
      <c r="E57" s="1">
        <f t="shared" si="14"/>
        <v>13.766113452177949</v>
      </c>
      <c r="G57" s="31">
        <f>'Price list REWE '!E54</f>
        <v>5.98</v>
      </c>
      <c r="H57" s="31">
        <f t="shared" si="15"/>
        <v>1.176019406343202E-2</v>
      </c>
      <c r="J57" s="42">
        <f>'Price list REWE '!H54</f>
        <v>5.98</v>
      </c>
      <c r="K57" s="42">
        <f t="shared" si="16"/>
        <v>1.176019406343202E-2</v>
      </c>
      <c r="M57" s="31">
        <f>'Price list ALDI Süd'!E54</f>
        <v>3.98</v>
      </c>
      <c r="N57" s="31">
        <f t="shared" si="17"/>
        <v>7.8270187913811774E-3</v>
      </c>
      <c r="P57" s="42">
        <f>'Price list ALDI Süd'!H54</f>
        <v>3.98</v>
      </c>
      <c r="Q57" s="42">
        <f t="shared" si="18"/>
        <v>7.8270187913811774E-3</v>
      </c>
    </row>
    <row r="58" spans="1:17" ht="17" x14ac:dyDescent="0.2">
      <c r="B58" s="26" t="s">
        <v>126</v>
      </c>
      <c r="C58" s="87">
        <v>5.4354866820293855E-2</v>
      </c>
      <c r="D58" s="1">
        <f t="shared" si="19"/>
        <v>9.1316176258093673</v>
      </c>
      <c r="E58" s="1">
        <f t="shared" si="14"/>
        <v>63.921323380665569</v>
      </c>
      <c r="G58" s="31">
        <f>'Price list REWE '!E55</f>
        <v>4.9800000000000004</v>
      </c>
      <c r="H58" s="31">
        <f t="shared" si="15"/>
        <v>4.547545577653065E-2</v>
      </c>
      <c r="J58" s="42">
        <f>'Price list REWE '!H55</f>
        <v>4.9800000000000004</v>
      </c>
      <c r="K58" s="42">
        <f t="shared" si="16"/>
        <v>4.547545577653065E-2</v>
      </c>
      <c r="M58" s="31">
        <f>'Price list ALDI Süd'!E55</f>
        <v>3.98</v>
      </c>
      <c r="N58" s="31">
        <f t="shared" si="17"/>
        <v>3.6343838150721279E-2</v>
      </c>
      <c r="P58" s="42">
        <f>'Price list ALDI Süd'!H55</f>
        <v>3.98</v>
      </c>
      <c r="Q58" s="42">
        <f t="shared" si="18"/>
        <v>3.6343838150721279E-2</v>
      </c>
    </row>
    <row r="59" spans="1:17" x14ac:dyDescent="0.2">
      <c r="A59" s="9">
        <v>10</v>
      </c>
      <c r="B59" s="26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210</v>
      </c>
      <c r="E60" s="4">
        <f>D60*$E$10</f>
        <v>1470</v>
      </c>
      <c r="F60" s="4">
        <f>153*C4</f>
        <v>128.51999999999998</v>
      </c>
    </row>
    <row r="61" spans="1:17" ht="17" x14ac:dyDescent="0.2">
      <c r="B61" s="1" t="s">
        <v>129</v>
      </c>
      <c r="D61" s="1">
        <f>100*C4</f>
        <v>84</v>
      </c>
      <c r="E61" s="1">
        <f t="shared" ref="E61:E69" si="20">D61*$E$10</f>
        <v>588</v>
      </c>
      <c r="G61" s="31">
        <f>'Price list REWE '!E58</f>
        <v>1.05</v>
      </c>
      <c r="H61" s="31">
        <f t="shared" ref="H61:H69" si="21">G61/1000*D61</f>
        <v>8.8200000000000014E-2</v>
      </c>
      <c r="J61" s="42">
        <f>'Price list REWE '!H58</f>
        <v>1.25</v>
      </c>
      <c r="K61" s="42">
        <f t="shared" ref="K61:K69" si="22">J61/1000*D61</f>
        <v>0.105</v>
      </c>
      <c r="M61" s="31">
        <f>'Price list ALDI Süd'!E58</f>
        <v>1.05</v>
      </c>
      <c r="N61" s="31">
        <f t="shared" ref="N61:N69" si="23">M61/1000*D61</f>
        <v>8.8200000000000014E-2</v>
      </c>
      <c r="P61" s="42">
        <f>'Price list ALDI Süd'!H58</f>
        <v>1.25</v>
      </c>
      <c r="Q61" s="42">
        <f t="shared" ref="Q61:Q69" si="24">P61/1000*D61</f>
        <v>0.105</v>
      </c>
    </row>
    <row r="62" spans="1:17" ht="17" x14ac:dyDescent="0.2">
      <c r="B62" s="1" t="s">
        <v>132</v>
      </c>
      <c r="D62" s="1">
        <f>80*C4</f>
        <v>67.2</v>
      </c>
      <c r="E62" s="1">
        <f t="shared" si="20"/>
        <v>470.40000000000003</v>
      </c>
      <c r="G62" s="31">
        <f>'Price list REWE '!E59</f>
        <v>1.7</v>
      </c>
      <c r="H62" s="31">
        <f t="shared" si="21"/>
        <v>0.11423999999999999</v>
      </c>
      <c r="J62" s="42">
        <f>'Price list REWE '!H59</f>
        <v>2.38</v>
      </c>
      <c r="K62" s="42">
        <f t="shared" si="22"/>
        <v>0.15993599999999999</v>
      </c>
      <c r="M62" s="31">
        <f>'Price list ALDI Süd'!E59</f>
        <v>1.7</v>
      </c>
      <c r="N62" s="31">
        <f t="shared" si="23"/>
        <v>0.11423999999999999</v>
      </c>
      <c r="P62" s="42">
        <f>'Price list ALDI Süd'!H59</f>
        <v>2.38</v>
      </c>
      <c r="Q62" s="42">
        <f t="shared" si="24"/>
        <v>0.15993599999999999</v>
      </c>
    </row>
    <row r="63" spans="1:17" ht="17" x14ac:dyDescent="0.2">
      <c r="B63" s="1" t="s">
        <v>135</v>
      </c>
      <c r="D63" s="1">
        <f>10*C4</f>
        <v>8.4</v>
      </c>
      <c r="E63" s="1">
        <f t="shared" si="20"/>
        <v>58.800000000000004</v>
      </c>
      <c r="G63" s="31">
        <f>'Price list REWE '!E60</f>
        <v>4.63</v>
      </c>
      <c r="H63" s="31">
        <f t="shared" si="21"/>
        <v>3.8891999999999996E-2</v>
      </c>
      <c r="J63" s="42">
        <f>'Price list REWE '!H60</f>
        <v>7.37</v>
      </c>
      <c r="K63" s="42">
        <f t="shared" si="22"/>
        <v>6.1907999999999998E-2</v>
      </c>
      <c r="M63" s="31">
        <f>'Price list ALDI Süd'!E60</f>
        <v>4.63</v>
      </c>
      <c r="N63" s="31">
        <f t="shared" si="23"/>
        <v>3.8891999999999996E-2</v>
      </c>
      <c r="P63" s="42">
        <f>'Price list ALDI Süd'!H60</f>
        <v>7.37</v>
      </c>
      <c r="Q63" s="42">
        <f t="shared" si="24"/>
        <v>6.1907999999999998E-2</v>
      </c>
    </row>
    <row r="64" spans="1:17" ht="17" x14ac:dyDescent="0.2">
      <c r="B64" s="1" t="s">
        <v>138</v>
      </c>
      <c r="D64" s="1">
        <f>10*C4</f>
        <v>8.4</v>
      </c>
      <c r="E64" s="1">
        <f t="shared" si="20"/>
        <v>58.800000000000004</v>
      </c>
      <c r="G64" s="31">
        <f>'Price list REWE '!E61</f>
        <v>2.98</v>
      </c>
      <c r="H64" s="31">
        <f t="shared" si="21"/>
        <v>2.5032000000000002E-2</v>
      </c>
      <c r="J64" s="42">
        <f>'Price list REWE '!H61</f>
        <v>4.2</v>
      </c>
      <c r="K64" s="42">
        <f t="shared" si="22"/>
        <v>3.5280000000000006E-2</v>
      </c>
      <c r="M64" s="31">
        <f>'Price list ALDI Süd'!E61</f>
        <v>2.8</v>
      </c>
      <c r="N64" s="31">
        <f t="shared" si="23"/>
        <v>2.3519999999999999E-2</v>
      </c>
      <c r="P64" s="42">
        <f>'Price list ALDI Süd'!H61</f>
        <v>4.2</v>
      </c>
      <c r="Q64" s="42">
        <f t="shared" si="24"/>
        <v>3.5280000000000006E-2</v>
      </c>
    </row>
    <row r="65" spans="1:17" ht="17" x14ac:dyDescent="0.2">
      <c r="B65" s="1" t="s">
        <v>141</v>
      </c>
      <c r="D65" s="1">
        <f>10*C4</f>
        <v>8.4</v>
      </c>
      <c r="E65" s="1">
        <f t="shared" si="20"/>
        <v>58.800000000000004</v>
      </c>
      <c r="G65" s="31">
        <f>'Price list REWE '!E62</f>
        <v>7.92</v>
      </c>
      <c r="H65" s="31">
        <f t="shared" si="21"/>
        <v>6.6528000000000004E-2</v>
      </c>
      <c r="J65" s="42">
        <f>'Price list REWE '!H62</f>
        <v>10.32</v>
      </c>
      <c r="K65" s="42">
        <f t="shared" si="22"/>
        <v>8.6688000000000015E-2</v>
      </c>
      <c r="M65" s="31">
        <f>'Price list ALDI Süd'!E62</f>
        <v>7.92</v>
      </c>
      <c r="N65" s="31">
        <f t="shared" si="23"/>
        <v>6.6528000000000004E-2</v>
      </c>
      <c r="P65" s="42">
        <f>'Price list ALDI Süd'!H62</f>
        <v>10.32</v>
      </c>
      <c r="Q65" s="42">
        <f t="shared" si="24"/>
        <v>8.6688000000000015E-2</v>
      </c>
    </row>
    <row r="66" spans="1:17" ht="17" x14ac:dyDescent="0.2">
      <c r="B66" s="1" t="s">
        <v>144</v>
      </c>
      <c r="D66" s="1">
        <f>10*C4</f>
        <v>8.4</v>
      </c>
      <c r="E66" s="1">
        <f t="shared" si="20"/>
        <v>58.800000000000004</v>
      </c>
      <c r="G66" s="31">
        <f>'Price list REWE '!E63</f>
        <v>3.45</v>
      </c>
      <c r="H66" s="31">
        <f t="shared" si="21"/>
        <v>2.8980000000000006E-2</v>
      </c>
      <c r="J66" s="42">
        <f>'Price list REWE '!H63</f>
        <v>4.45</v>
      </c>
      <c r="K66" s="42">
        <f t="shared" si="22"/>
        <v>3.7380000000000004E-2</v>
      </c>
      <c r="M66" s="31">
        <f>'Price list ALDI Süd'!E63</f>
        <v>3.45</v>
      </c>
      <c r="N66" s="31">
        <f t="shared" si="23"/>
        <v>2.8980000000000006E-2</v>
      </c>
      <c r="P66" s="42">
        <f>'Price list ALDI Süd'!H63</f>
        <v>4.25</v>
      </c>
      <c r="Q66" s="42">
        <f t="shared" si="24"/>
        <v>3.5700000000000003E-2</v>
      </c>
    </row>
    <row r="67" spans="1:17" ht="34" x14ac:dyDescent="0.2">
      <c r="B67" s="1" t="s">
        <v>401</v>
      </c>
      <c r="D67" s="1">
        <f>10*C4</f>
        <v>8.4</v>
      </c>
      <c r="E67" s="1">
        <f t="shared" si="20"/>
        <v>58.800000000000004</v>
      </c>
      <c r="G67" s="31">
        <f>'Price list REWE '!E64</f>
        <v>7.48</v>
      </c>
      <c r="H67" s="31">
        <f t="shared" si="21"/>
        <v>6.2832000000000013E-2</v>
      </c>
      <c r="J67" s="42">
        <f>'Price list REWE '!H64</f>
        <v>12.6</v>
      </c>
      <c r="K67" s="42">
        <f t="shared" si="22"/>
        <v>0.10584</v>
      </c>
      <c r="M67" s="31">
        <f>'Price list ALDI Süd'!E64</f>
        <v>9.9600000000000009</v>
      </c>
      <c r="N67" s="31">
        <f t="shared" si="23"/>
        <v>8.3664000000000002E-2</v>
      </c>
      <c r="P67" s="42">
        <f>'Price list ALDI Süd'!H64</f>
        <v>10.95</v>
      </c>
      <c r="Q67" s="42">
        <f t="shared" si="24"/>
        <v>9.1980000000000006E-2</v>
      </c>
    </row>
    <row r="68" spans="1:17" ht="23" customHeight="1" x14ac:dyDescent="0.2">
      <c r="B68" s="1" t="s">
        <v>402</v>
      </c>
      <c r="D68" s="1">
        <f>10*C4</f>
        <v>8.4</v>
      </c>
      <c r="E68" s="1">
        <f t="shared" si="20"/>
        <v>58.800000000000004</v>
      </c>
      <c r="G68" s="31">
        <f>'Price list REWE '!E65</f>
        <v>11.56</v>
      </c>
      <c r="H68" s="31">
        <f t="shared" si="21"/>
        <v>9.710400000000001E-2</v>
      </c>
      <c r="J68" s="42">
        <f>'Price list REWE '!H65</f>
        <v>14.6</v>
      </c>
      <c r="K68" s="42">
        <f t="shared" si="22"/>
        <v>0.12264000000000001</v>
      </c>
      <c r="M68" s="31">
        <f>'Price list ALDI Süd'!E65</f>
        <v>11.56</v>
      </c>
      <c r="N68" s="31">
        <f t="shared" si="23"/>
        <v>9.710400000000001E-2</v>
      </c>
      <c r="P68" s="42">
        <f>'Price list ALDI Süd'!H65</f>
        <v>14.6</v>
      </c>
      <c r="Q68" s="42">
        <f t="shared" si="24"/>
        <v>0.12264000000000001</v>
      </c>
    </row>
    <row r="69" spans="1:17" ht="17" x14ac:dyDescent="0.2">
      <c r="B69" s="1" t="s">
        <v>403</v>
      </c>
      <c r="D69" s="1">
        <f>10*C4</f>
        <v>8.4</v>
      </c>
      <c r="E69" s="1">
        <f t="shared" si="20"/>
        <v>58.800000000000004</v>
      </c>
      <c r="G69" s="31">
        <f>'Price list REWE '!E66</f>
        <v>9.9499999999999993</v>
      </c>
      <c r="H69" s="31">
        <f t="shared" si="21"/>
        <v>8.3579999999999988E-2</v>
      </c>
      <c r="J69" s="42">
        <f>'Price list REWE '!H66</f>
        <v>13.27</v>
      </c>
      <c r="K69" s="42">
        <f t="shared" si="22"/>
        <v>0.111468</v>
      </c>
      <c r="M69" s="31">
        <f>'Price list ALDI Süd'!E66</f>
        <v>9.9499999999999993</v>
      </c>
      <c r="N69" s="31">
        <f t="shared" si="23"/>
        <v>8.3579999999999988E-2</v>
      </c>
      <c r="P69" s="42">
        <f>'Price list ALDI Süd'!H66</f>
        <v>13.28</v>
      </c>
      <c r="Q69" s="42">
        <f t="shared" si="24"/>
        <v>0.11155200000000001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3.5*C4</f>
        <v>2.94</v>
      </c>
      <c r="E71" s="4">
        <v>24.5</v>
      </c>
      <c r="F71" s="4">
        <f>15*C4</f>
        <v>12.6</v>
      </c>
    </row>
    <row r="72" spans="1:17" ht="17" x14ac:dyDescent="0.2">
      <c r="B72" s="1" t="s">
        <v>158</v>
      </c>
      <c r="D72" s="1">
        <f>3.5*C4</f>
        <v>2.94</v>
      </c>
      <c r="E72" s="1">
        <v>24.5</v>
      </c>
      <c r="G72" s="31">
        <f>'Price list REWE '!E69</f>
        <v>13.96</v>
      </c>
      <c r="H72" s="31">
        <f>G72/1000*D72</f>
        <v>4.10424E-2</v>
      </c>
      <c r="J72" s="42">
        <f>'Price list REWE '!H69</f>
        <v>15.9</v>
      </c>
      <c r="K72" s="42">
        <f>J72/1000*D72</f>
        <v>4.6746000000000003E-2</v>
      </c>
      <c r="M72" s="31">
        <f>'Price list ALDI Süd'!E69</f>
        <v>9.7799999999999994</v>
      </c>
      <c r="N72" s="31">
        <f>M72/1000*D72</f>
        <v>2.8753199999999996E-2</v>
      </c>
      <c r="P72" s="42">
        <f>'Price list ALDI Süd'!H69</f>
        <v>11.98</v>
      </c>
      <c r="Q72" s="42">
        <f>P72/1000*D72</f>
        <v>3.5221200000000001E-2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3.5*C4</f>
        <v>2.94</v>
      </c>
      <c r="E74" s="4">
        <v>24.5</v>
      </c>
      <c r="F74" s="4">
        <f>15*C4</f>
        <v>12.6</v>
      </c>
    </row>
    <row r="75" spans="1:17" ht="17" x14ac:dyDescent="0.2">
      <c r="B75" s="1" t="s">
        <v>162</v>
      </c>
      <c r="D75" s="1">
        <f>3.5*C4</f>
        <v>2.94</v>
      </c>
      <c r="E75" s="1">
        <v>24.5</v>
      </c>
      <c r="G75" s="31">
        <f>'Price list REWE '!E72</f>
        <v>8.98</v>
      </c>
      <c r="H75" s="31">
        <f>G75/1000*D75</f>
        <v>2.64012E-2</v>
      </c>
      <c r="J75" s="42">
        <f>'Price list REWE '!H72</f>
        <v>29.9</v>
      </c>
      <c r="K75" s="42">
        <f>J75/1000*D75</f>
        <v>8.7905999999999998E-2</v>
      </c>
      <c r="M75" s="31">
        <f>'Price list ALDI Süd'!E72</f>
        <v>8.98</v>
      </c>
      <c r="N75" s="31">
        <f>M75/1000*D75</f>
        <v>2.64012E-2</v>
      </c>
      <c r="P75" s="42">
        <f>'Price list ALDI Süd'!H72</f>
        <v>17.96</v>
      </c>
      <c r="Q75" s="42">
        <f>P75/1000*D75</f>
        <v>5.2802399999999999E-2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14.5*C4</f>
        <v>12.18</v>
      </c>
      <c r="E77" s="4">
        <v>101.5</v>
      </c>
      <c r="F77" s="4">
        <f>62*C4</f>
        <v>52.08</v>
      </c>
    </row>
    <row r="78" spans="1:17" ht="17" x14ac:dyDescent="0.2">
      <c r="B78" s="1" t="s">
        <v>166</v>
      </c>
      <c r="D78" s="1">
        <f>14.5*C4</f>
        <v>12.18</v>
      </c>
      <c r="E78" s="1">
        <v>101.5</v>
      </c>
      <c r="G78" s="31">
        <f>'Price list REWE '!E75</f>
        <v>9.98</v>
      </c>
      <c r="H78" s="31">
        <f>G78/1000*D78</f>
        <v>0.12155640000000001</v>
      </c>
      <c r="J78" s="42">
        <f>'Price list REWE '!H75</f>
        <v>34.9</v>
      </c>
      <c r="K78" s="42">
        <f>J78/1000*D78</f>
        <v>0.42508200000000002</v>
      </c>
      <c r="M78" s="31">
        <f>'Price list ALDI Süd'!E75</f>
        <v>9.98</v>
      </c>
      <c r="N78" s="31">
        <f>M78/1000*D78</f>
        <v>0.12155640000000001</v>
      </c>
      <c r="P78" s="42">
        <f>'Price list ALDI Süd'!H75</f>
        <v>24.99</v>
      </c>
      <c r="Q78" s="42">
        <f>P78/1000*D78</f>
        <v>0.30437819999999999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10.92</v>
      </c>
      <c r="E80" s="4">
        <v>91</v>
      </c>
      <c r="F80" s="4">
        <f>19*C4</f>
        <v>15.959999999999999</v>
      </c>
    </row>
    <row r="81" spans="1:17" ht="17" x14ac:dyDescent="0.2">
      <c r="A81" s="1"/>
      <c r="B81" s="1" t="s">
        <v>170</v>
      </c>
      <c r="D81" s="1">
        <f>13*C4</f>
        <v>10.92</v>
      </c>
      <c r="E81" s="1">
        <v>91</v>
      </c>
      <c r="G81" s="31">
        <f>'Price list REWE '!E78</f>
        <v>3.98</v>
      </c>
      <c r="H81" s="31">
        <f>G81/1000*D81</f>
        <v>4.3461600000000003E-2</v>
      </c>
      <c r="J81" s="42">
        <f>'Price list REWE '!H78</f>
        <v>7.9666666666666677</v>
      </c>
      <c r="K81" s="42">
        <f>J81/1000*D81</f>
        <v>8.6996000000000004E-2</v>
      </c>
      <c r="M81" s="31">
        <f>'Price list ALDI Süd'!E78</f>
        <v>3.98</v>
      </c>
      <c r="N81" s="31">
        <f>M81/1000*D81</f>
        <v>4.3461600000000003E-2</v>
      </c>
      <c r="P81" s="42">
        <f>'Price list ALDI Süd'!H78</f>
        <v>6.38</v>
      </c>
      <c r="Q81" s="42">
        <f>P81/1000*D81</f>
        <v>6.9669599999999998E-2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14*C4</f>
        <v>11.76</v>
      </c>
      <c r="E83" s="4">
        <v>98</v>
      </c>
      <c r="F83" s="4">
        <f>40*C4</f>
        <v>33.6</v>
      </c>
    </row>
    <row r="84" spans="1:17" ht="17" x14ac:dyDescent="0.2">
      <c r="B84" s="1" t="s">
        <v>174</v>
      </c>
      <c r="D84" s="1">
        <f>D83/3</f>
        <v>3.92</v>
      </c>
      <c r="E84" s="1">
        <v>32.666666666666671</v>
      </c>
      <c r="G84" s="31">
        <f>'Price list REWE '!E81</f>
        <v>23.96</v>
      </c>
      <c r="H84" s="31">
        <f>G84/1000*D84</f>
        <v>9.3923200000000012E-2</v>
      </c>
      <c r="J84" s="42">
        <f>'Price list REWE '!H81</f>
        <v>31.96</v>
      </c>
      <c r="K84" s="42">
        <f>J84/1000*D84</f>
        <v>0.12528320000000001</v>
      </c>
      <c r="M84" s="31">
        <f>'Price list ALDI Süd'!E81</f>
        <v>23.96</v>
      </c>
      <c r="N84" s="31">
        <f>M84/1000*D84</f>
        <v>9.3923200000000012E-2</v>
      </c>
      <c r="P84" s="42">
        <f>'Price list ALDI Süd'!H81</f>
        <v>31.96</v>
      </c>
      <c r="Q84" s="42">
        <f>P84/1000*D84</f>
        <v>0.12528320000000001</v>
      </c>
    </row>
    <row r="85" spans="1:17" ht="17" x14ac:dyDescent="0.2">
      <c r="B85" s="1" t="s">
        <v>177</v>
      </c>
      <c r="D85" s="1">
        <f>D83/3</f>
        <v>3.92</v>
      </c>
      <c r="E85" s="1">
        <v>32.666666666666671</v>
      </c>
      <c r="G85" s="31">
        <f>'Price list REWE '!E82</f>
        <v>7.49</v>
      </c>
      <c r="H85" s="31">
        <f>G85/1000*D85</f>
        <v>2.9360799999999999E-2</v>
      </c>
      <c r="J85" s="42">
        <f>'Price list REWE '!H82</f>
        <v>7.49</v>
      </c>
      <c r="K85" s="42">
        <f>J85/1000*D85</f>
        <v>2.9360799999999999E-2</v>
      </c>
      <c r="M85" s="31">
        <f>'Price list ALDI Süd'!E82</f>
        <v>7.49</v>
      </c>
      <c r="N85" s="31">
        <f>M85/1000*D85</f>
        <v>2.9360799999999999E-2</v>
      </c>
      <c r="P85" s="42">
        <f>'Price list ALDI Süd'!H82</f>
        <v>7.49</v>
      </c>
      <c r="Q85" s="42">
        <f>P85/1000*D85</f>
        <v>2.9360799999999999E-2</v>
      </c>
    </row>
    <row r="86" spans="1:17" ht="17" x14ac:dyDescent="0.2">
      <c r="B86" s="1" t="s">
        <v>179</v>
      </c>
      <c r="D86" s="1">
        <f>D83/3</f>
        <v>3.92</v>
      </c>
      <c r="E86" s="1">
        <v>32.666666666666671</v>
      </c>
      <c r="G86" s="31">
        <f>'Price list REWE '!E83</f>
        <v>7.6410256410256414</v>
      </c>
      <c r="H86" s="31">
        <f>G86/1000*D86</f>
        <v>2.9952820512820513E-2</v>
      </c>
      <c r="J86" s="42">
        <f>'Price list REWE '!H83</f>
        <v>20.5625</v>
      </c>
      <c r="K86" s="42">
        <f>J86/1000*D86</f>
        <v>8.0604999999999996E-2</v>
      </c>
      <c r="M86" s="31">
        <f>'Price list ALDI Süd'!E83</f>
        <v>7.6410256410256414</v>
      </c>
      <c r="N86" s="31">
        <f>M86/1000*D86</f>
        <v>2.9952820512820513E-2</v>
      </c>
      <c r="P86" s="42">
        <f>'Price list ALDI Süd'!H83</f>
        <v>20.5625</v>
      </c>
      <c r="Q86" s="42">
        <f>P86/1000*D86</f>
        <v>8.0604999999999996E-2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E88/7*C4</f>
        <v>48</v>
      </c>
      <c r="E88" s="4">
        <f>350+50</f>
        <v>400</v>
      </c>
      <c r="F88" s="4">
        <f>172*C4</f>
        <v>144.47999999999999</v>
      </c>
    </row>
    <row r="89" spans="1:17" ht="17" x14ac:dyDescent="0.2">
      <c r="B89" s="1" t="s">
        <v>183</v>
      </c>
      <c r="D89" s="1">
        <f t="shared" ref="D89:D94" si="25">$D$88/6</f>
        <v>8</v>
      </c>
      <c r="E89" s="1">
        <f t="shared" ref="E89:E94" si="26">D89*$E$10</f>
        <v>56</v>
      </c>
      <c r="G89" s="31">
        <f>'Price list REWE '!E86</f>
        <v>4.58</v>
      </c>
      <c r="H89" s="31">
        <f t="shared" ref="H89:H94" si="27">G89/1000*D89</f>
        <v>3.6639999999999999E-2</v>
      </c>
      <c r="J89" s="42">
        <f>'Price list REWE '!H86</f>
        <v>3.3</v>
      </c>
      <c r="K89" s="42">
        <f t="shared" ref="K89:K94" si="28">J89/1000*D89</f>
        <v>2.64E-2</v>
      </c>
      <c r="M89" s="31">
        <f>'Price list ALDI Süd'!E86</f>
        <v>3.98</v>
      </c>
      <c r="N89" s="31">
        <f t="shared" ref="N89:N94" si="29">M89/1000*D89</f>
        <v>3.184E-2</v>
      </c>
      <c r="P89" s="42">
        <f>'Price list ALDI Süd'!H86</f>
        <v>3.3</v>
      </c>
      <c r="Q89" s="42">
        <f t="shared" ref="Q89:Q94" si="30">P89/1000*D89</f>
        <v>2.64E-2</v>
      </c>
    </row>
    <row r="90" spans="1:17" ht="17" x14ac:dyDescent="0.2">
      <c r="B90" s="1" t="s">
        <v>186</v>
      </c>
      <c r="D90" s="1">
        <f t="shared" si="25"/>
        <v>8</v>
      </c>
      <c r="E90" s="1">
        <f t="shared" si="26"/>
        <v>56</v>
      </c>
      <c r="G90" s="31">
        <f>'Price list REWE '!E87</f>
        <v>2.9749999999999996</v>
      </c>
      <c r="H90" s="31">
        <f t="shared" si="27"/>
        <v>2.3799999999999998E-2</v>
      </c>
      <c r="J90" s="42">
        <f>'Price list REWE '!H87</f>
        <v>3.5833333333333335</v>
      </c>
      <c r="K90" s="42">
        <f t="shared" si="28"/>
        <v>2.8666666666666667E-2</v>
      </c>
      <c r="M90" s="31">
        <f>'Price list ALDI Süd'!E87</f>
        <v>2.9749999999999996</v>
      </c>
      <c r="N90" s="31">
        <f t="shared" si="29"/>
        <v>2.3799999999999998E-2</v>
      </c>
      <c r="P90" s="42">
        <f>'Price list ALDI Süd'!H87</f>
        <v>3.5833333333333335</v>
      </c>
      <c r="Q90" s="42">
        <f t="shared" si="30"/>
        <v>2.8666666666666667E-2</v>
      </c>
    </row>
    <row r="91" spans="1:17" ht="17" x14ac:dyDescent="0.2">
      <c r="B91" s="1" t="s">
        <v>189</v>
      </c>
      <c r="D91" s="1">
        <f t="shared" si="25"/>
        <v>8</v>
      </c>
      <c r="E91" s="1">
        <f t="shared" si="26"/>
        <v>56</v>
      </c>
      <c r="G91" s="31">
        <f>'Price list REWE '!E88</f>
        <v>1.7249999999999999</v>
      </c>
      <c r="H91" s="31">
        <f t="shared" si="27"/>
        <v>1.38E-2</v>
      </c>
      <c r="J91" s="42">
        <f>'Price list REWE '!H88</f>
        <v>2.75</v>
      </c>
      <c r="K91" s="42">
        <f t="shared" si="28"/>
        <v>2.1999999999999999E-2</v>
      </c>
      <c r="M91" s="31">
        <f>'Price list ALDI Süd'!E88</f>
        <v>1.7249999999999999</v>
      </c>
      <c r="N91" s="31">
        <f t="shared" si="29"/>
        <v>1.38E-2</v>
      </c>
      <c r="P91" s="42">
        <f>'Price list ALDI Süd'!H88</f>
        <v>2.75</v>
      </c>
      <c r="Q91" s="42">
        <f t="shared" si="30"/>
        <v>2.1999999999999999E-2</v>
      </c>
    </row>
    <row r="92" spans="1:17" ht="17" x14ac:dyDescent="0.2">
      <c r="B92" s="1" t="s">
        <v>192</v>
      </c>
      <c r="D92" s="1">
        <f t="shared" si="25"/>
        <v>8</v>
      </c>
      <c r="E92" s="1">
        <f t="shared" si="26"/>
        <v>56</v>
      </c>
      <c r="G92" s="31">
        <f>'Price list REWE '!E89</f>
        <v>1.99</v>
      </c>
      <c r="H92" s="31">
        <f t="shared" si="27"/>
        <v>1.592E-2</v>
      </c>
      <c r="J92" s="42">
        <f>'Price list REWE '!H89</f>
        <v>3.98</v>
      </c>
      <c r="K92" s="42">
        <f t="shared" si="28"/>
        <v>3.184E-2</v>
      </c>
      <c r="M92" s="31">
        <f>'Price list ALDI Süd'!E89</f>
        <v>1.99</v>
      </c>
      <c r="N92" s="31">
        <f t="shared" si="29"/>
        <v>1.592E-2</v>
      </c>
      <c r="P92" s="42">
        <f>'Price list ALDI Süd'!H89</f>
        <v>3.32</v>
      </c>
      <c r="Q92" s="42">
        <f t="shared" si="30"/>
        <v>2.656E-2</v>
      </c>
    </row>
    <row r="93" spans="1:17" ht="17" x14ac:dyDescent="0.2">
      <c r="B93" s="1" t="s">
        <v>622</v>
      </c>
      <c r="D93" s="1">
        <f t="shared" si="25"/>
        <v>8</v>
      </c>
      <c r="E93" s="1">
        <f t="shared" si="26"/>
        <v>56</v>
      </c>
      <c r="G93" s="31">
        <f>'Price list REWE '!E90</f>
        <v>1.7249999999999999</v>
      </c>
      <c r="H93" s="31">
        <f t="shared" si="27"/>
        <v>1.38E-2</v>
      </c>
      <c r="J93" s="42">
        <f>'Price list REWE '!H90</f>
        <v>3</v>
      </c>
      <c r="K93" s="42">
        <f t="shared" si="28"/>
        <v>2.4E-2</v>
      </c>
      <c r="M93" s="31">
        <f>'Price list ALDI Süd'!E90</f>
        <v>1.7249999999999999</v>
      </c>
      <c r="N93" s="31">
        <f t="shared" si="29"/>
        <v>1.38E-2</v>
      </c>
      <c r="P93" s="42">
        <f>'Price list ALDI Süd'!H90</f>
        <v>2.75</v>
      </c>
      <c r="Q93" s="42">
        <f t="shared" si="30"/>
        <v>2.1999999999999999E-2</v>
      </c>
    </row>
    <row r="94" spans="1:17" ht="17" x14ac:dyDescent="0.2">
      <c r="A94" s="1"/>
      <c r="B94" s="1" t="s">
        <v>623</v>
      </c>
      <c r="D94" s="1">
        <f t="shared" si="25"/>
        <v>8</v>
      </c>
      <c r="E94" s="1">
        <f t="shared" si="26"/>
        <v>56</v>
      </c>
      <c r="G94" s="31">
        <f>'Price list REWE '!E91</f>
        <v>2.0441176470588234</v>
      </c>
      <c r="H94" s="31">
        <f t="shared" si="27"/>
        <v>1.6352941176470587E-2</v>
      </c>
      <c r="J94" s="42">
        <f>'Price list REWE '!H91</f>
        <v>2.0441176470588234</v>
      </c>
      <c r="K94" s="42">
        <f t="shared" si="28"/>
        <v>1.6352941176470587E-2</v>
      </c>
      <c r="M94" s="31">
        <f>'Price list ALDI Süd'!E91</f>
        <v>3.3559322033898304</v>
      </c>
      <c r="N94" s="31">
        <f t="shared" si="29"/>
        <v>2.6847457627118643E-2</v>
      </c>
      <c r="P94" s="42">
        <f>'Price list ALDI Süd'!H91</f>
        <v>3.3559322033898304</v>
      </c>
      <c r="Q94" s="42">
        <f t="shared" si="30"/>
        <v>2.6847457627118643E-2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E96/7*C4</f>
        <v>28.199999999999996</v>
      </c>
      <c r="E96" s="4">
        <f>175+60</f>
        <v>235</v>
      </c>
      <c r="F96" s="4">
        <f>112*C4</f>
        <v>94.08</v>
      </c>
    </row>
    <row r="97" spans="1:17" ht="17" x14ac:dyDescent="0.2">
      <c r="B97" s="1" t="s">
        <v>201</v>
      </c>
      <c r="D97" s="1">
        <f>D96/2</f>
        <v>14.099999999999998</v>
      </c>
      <c r="E97" s="1">
        <v>117.5</v>
      </c>
      <c r="G97" s="31">
        <f>'Price list REWE '!E94</f>
        <v>5.48</v>
      </c>
      <c r="H97" s="31">
        <f>G97/1000*D97</f>
        <v>7.7267999999999989E-2</v>
      </c>
      <c r="J97" s="42">
        <f>'Price list REWE '!H94</f>
        <v>5.48</v>
      </c>
      <c r="K97" s="42">
        <f>J97/1000*D97</f>
        <v>7.7267999999999989E-2</v>
      </c>
      <c r="M97" s="31">
        <f>'Price list ALDI Süd'!E94</f>
        <v>5.48</v>
      </c>
      <c r="N97" s="31">
        <f>M97/1000*D97</f>
        <v>7.7267999999999989E-2</v>
      </c>
      <c r="P97" s="42">
        <f>'Price list ALDI Süd'!H94</f>
        <v>5.48</v>
      </c>
      <c r="Q97" s="42">
        <f>P97/1000*D97</f>
        <v>7.7267999999999989E-2</v>
      </c>
    </row>
    <row r="98" spans="1:17" ht="17" x14ac:dyDescent="0.2">
      <c r="B98" s="1" t="s">
        <v>203</v>
      </c>
      <c r="D98" s="1">
        <f>D96/2</f>
        <v>14.099999999999998</v>
      </c>
      <c r="E98" s="1">
        <v>117.5</v>
      </c>
      <c r="G98" s="31">
        <f>'Price list REWE '!E95</f>
        <v>6.26</v>
      </c>
      <c r="H98" s="31">
        <f>G98/1000*D98</f>
        <v>8.8265999999999983E-2</v>
      </c>
      <c r="J98" s="42">
        <f>'Price list REWE '!H95</f>
        <v>6.26</v>
      </c>
      <c r="K98" s="42">
        <f>J98/1000*D98</f>
        <v>8.8265999999999983E-2</v>
      </c>
      <c r="M98" s="31">
        <f>'Price list ALDI Süd'!E95</f>
        <v>6.26</v>
      </c>
      <c r="N98" s="31">
        <f>M98/1000*D98</f>
        <v>8.8265999999999983E-2</v>
      </c>
      <c r="P98" s="42">
        <f>'Price list ALDI Süd'!H95</f>
        <v>6.26</v>
      </c>
      <c r="Q98" s="42">
        <f>P98/1000*D98</f>
        <v>8.8265999999999983E-2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119.28</v>
      </c>
    </row>
    <row r="102" spans="1:17" ht="17" x14ac:dyDescent="0.2">
      <c r="B102" s="1" t="s">
        <v>207</v>
      </c>
      <c r="D102" s="1">
        <f>25*C4</f>
        <v>21</v>
      </c>
      <c r="E102" s="1">
        <f>D102*E10</f>
        <v>147</v>
      </c>
      <c r="G102" s="31">
        <f>'Price list REWE '!E99</f>
        <v>4.9800000000000004</v>
      </c>
      <c r="H102" s="31">
        <f>G102/1000*D102</f>
        <v>0.10458000000000001</v>
      </c>
      <c r="J102" s="42">
        <f>'Price list REWE '!H99</f>
        <v>4.9800000000000004</v>
      </c>
      <c r="K102" s="42">
        <f>J102/1000*D102</f>
        <v>0.10458000000000001</v>
      </c>
      <c r="M102" s="31">
        <f>'Price list ALDI Süd'!E99</f>
        <v>4.9800000000000004</v>
      </c>
      <c r="N102" s="31">
        <f>M102/1000*D102</f>
        <v>0.10458000000000001</v>
      </c>
      <c r="P102" s="42">
        <f>'Price list ALDI Süd'!H99</f>
        <v>4.9800000000000004</v>
      </c>
      <c r="Q102" s="42">
        <f>P102/1000*D102</f>
        <v>0.10458000000000001</v>
      </c>
    </row>
    <row r="103" spans="1:17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21</v>
      </c>
      <c r="E104" s="8">
        <f>D104*7</f>
        <v>147</v>
      </c>
      <c r="F104" s="8">
        <f>149*C4</f>
        <v>125.16</v>
      </c>
    </row>
    <row r="105" spans="1:17" ht="17" x14ac:dyDescent="0.2">
      <c r="B105" s="1" t="s">
        <v>210</v>
      </c>
      <c r="D105" s="7">
        <f>D104/2</f>
        <v>10.5</v>
      </c>
      <c r="E105" s="1">
        <f>D105*7</f>
        <v>73.5</v>
      </c>
      <c r="G105" s="31">
        <f>'Price list REWE '!E102</f>
        <v>11.45</v>
      </c>
      <c r="H105" s="31">
        <f>G105/1000*D105</f>
        <v>0.120225</v>
      </c>
      <c r="J105" s="42">
        <f>'Price list REWE '!H102</f>
        <v>17.95</v>
      </c>
      <c r="K105" s="42">
        <f>J105/1000*D105</f>
        <v>0.188475</v>
      </c>
      <c r="M105" s="31">
        <f>'Price list ALDI Süd'!E102</f>
        <v>11.45</v>
      </c>
      <c r="N105" s="31">
        <f>M105/1000*D105</f>
        <v>0.120225</v>
      </c>
      <c r="P105" s="42">
        <f>'Price list ALDI Süd'!H102</f>
        <v>14.75</v>
      </c>
      <c r="Q105" s="42">
        <f>P105/1000*D105</f>
        <v>0.15487499999999998</v>
      </c>
    </row>
    <row r="106" spans="1:17" ht="17" x14ac:dyDescent="0.2">
      <c r="B106" s="1" t="s">
        <v>213</v>
      </c>
      <c r="D106" s="7">
        <f>D104/2</f>
        <v>10.5</v>
      </c>
      <c r="E106" s="1">
        <f>D106*7</f>
        <v>73.5</v>
      </c>
      <c r="F106" s="7"/>
      <c r="G106" s="31">
        <f>'Price list REWE '!E103</f>
        <v>11.45</v>
      </c>
      <c r="H106" s="31">
        <f>G106/1000*D106</f>
        <v>0.120225</v>
      </c>
      <c r="J106" s="42">
        <f>'Price list REWE '!H103</f>
        <v>11.45</v>
      </c>
      <c r="K106" s="42">
        <f>J106/1000*D106</f>
        <v>0.120225</v>
      </c>
      <c r="M106" s="31">
        <f>'Price list ALDI Süd'!E103</f>
        <v>11.45</v>
      </c>
      <c r="N106" s="31">
        <f>M106/1000*D106</f>
        <v>0.120225</v>
      </c>
      <c r="P106" s="42">
        <f>'Price list ALDI Süd'!H103</f>
        <v>11.45</v>
      </c>
      <c r="Q106" s="42">
        <f>P106/1000*D106</f>
        <v>0.120225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5.7119999999999997</v>
      </c>
      <c r="E108" s="8">
        <f>D108*7</f>
        <v>39.983999999999995</v>
      </c>
      <c r="F108" s="8">
        <f>60*C4</f>
        <v>50.4</v>
      </c>
    </row>
    <row r="109" spans="1:17" ht="17" x14ac:dyDescent="0.2">
      <c r="B109" s="1" t="s">
        <v>216</v>
      </c>
      <c r="D109" s="1">
        <f>D108</f>
        <v>5.7119999999999997</v>
      </c>
      <c r="E109" s="1">
        <f>D109*7</f>
        <v>39.983999999999995</v>
      </c>
      <c r="G109" s="31">
        <f>'Price list REWE '!E106</f>
        <v>2.98</v>
      </c>
      <c r="H109" s="31">
        <f>G109/1000*D109</f>
        <v>1.702176E-2</v>
      </c>
      <c r="J109" s="42">
        <f>'Price list REWE '!H106</f>
        <v>7.16</v>
      </c>
      <c r="K109" s="42">
        <f>J109/1000*D112</f>
        <v>8.0192000000000013E-2</v>
      </c>
      <c r="M109" s="31">
        <f>'Price list ALDI Süd'!E106</f>
        <v>3.38</v>
      </c>
      <c r="N109" s="31">
        <f>M109/1000*D112</f>
        <v>3.7856000000000001E-2</v>
      </c>
      <c r="P109" s="42">
        <f>'Price list ALDI Süd'!H106</f>
        <v>7.16</v>
      </c>
      <c r="Q109" s="42">
        <f>P109/1000*D112</f>
        <v>8.0192000000000013E-2</v>
      </c>
    </row>
    <row r="110" spans="1:17" x14ac:dyDescent="0.2">
      <c r="A110" s="9">
        <v>1</v>
      </c>
      <c r="F110" s="7"/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33.6</v>
      </c>
      <c r="E111" s="8">
        <f>D111*7</f>
        <v>235.20000000000002</v>
      </c>
      <c r="F111" s="8">
        <f>354*C4</f>
        <v>297.36</v>
      </c>
    </row>
    <row r="112" spans="1:17" ht="17" x14ac:dyDescent="0.2">
      <c r="B112" s="1" t="s">
        <v>220</v>
      </c>
      <c r="D112" s="1">
        <f>$D$111/3</f>
        <v>11.200000000000001</v>
      </c>
      <c r="E112" s="7">
        <f>D112*7</f>
        <v>78.400000000000006</v>
      </c>
      <c r="G112" s="31">
        <f>'Price list REWE '!E109</f>
        <v>3.78</v>
      </c>
      <c r="H112" s="31">
        <f>G112/1000*D112</f>
        <v>4.2336000000000006E-2</v>
      </c>
      <c r="J112" s="42">
        <f>'Price list REWE '!H109</f>
        <v>3.5</v>
      </c>
      <c r="K112" s="42">
        <f>J112/1000*D113</f>
        <v>3.9200000000000006E-2</v>
      </c>
      <c r="M112" s="31">
        <f>'Price list ALDI Süd'!E109</f>
        <v>1.851</v>
      </c>
      <c r="N112" s="31">
        <f>M112/1000*D113</f>
        <v>2.0731200000000002E-2</v>
      </c>
      <c r="P112" s="42">
        <f>'Price list ALDI Süd'!H109</f>
        <v>3.7</v>
      </c>
      <c r="Q112" s="42">
        <f>P112/1000*D113</f>
        <v>4.1440000000000005E-2</v>
      </c>
    </row>
    <row r="113" spans="1:17" ht="17" x14ac:dyDescent="0.2">
      <c r="B113" s="1" t="s">
        <v>223</v>
      </c>
      <c r="D113" s="1">
        <f>$D$111/3</f>
        <v>11.200000000000001</v>
      </c>
      <c r="E113" s="1">
        <f>D113*7</f>
        <v>78.400000000000006</v>
      </c>
      <c r="F113" s="7"/>
      <c r="G113" s="31">
        <f>'Price list REWE '!E110</f>
        <v>8.99</v>
      </c>
      <c r="H113" s="31">
        <f>G113/1000*D113</f>
        <v>0.100688</v>
      </c>
      <c r="J113" s="42">
        <f>'Price list REWE '!H110</f>
        <v>14.58</v>
      </c>
      <c r="K113" s="42">
        <f>J113/1000*D114</f>
        <v>0.163296</v>
      </c>
      <c r="M113" s="31">
        <f>'Price list ALDI Süd'!E110</f>
        <v>7.99</v>
      </c>
      <c r="N113" s="31">
        <f>M113/1000*D114</f>
        <v>8.9488000000000012E-2</v>
      </c>
      <c r="P113" s="42">
        <f>'Price list ALDI Süd'!H110</f>
        <v>9.32</v>
      </c>
      <c r="Q113" s="42">
        <f>P113/1000*D114</f>
        <v>0.10438400000000002</v>
      </c>
    </row>
    <row r="114" spans="1:17" ht="17" x14ac:dyDescent="0.2">
      <c r="B114" s="1" t="s">
        <v>226</v>
      </c>
      <c r="D114" s="1">
        <f>$D$111/3</f>
        <v>11.200000000000001</v>
      </c>
      <c r="E114" s="1">
        <f>D114*7</f>
        <v>78.400000000000006</v>
      </c>
      <c r="G114" s="31">
        <f>'Price list REWE '!E111</f>
        <v>10.36</v>
      </c>
      <c r="H114" s="31">
        <f>G114/1000*D114</f>
        <v>0.11603200000000001</v>
      </c>
      <c r="J114" s="42">
        <f>'Price list REWE '!H111</f>
        <v>15.96</v>
      </c>
      <c r="K114" s="42">
        <f>J114/1000*D109</f>
        <v>9.1163520000000012E-2</v>
      </c>
      <c r="M114" s="31">
        <f>'Price list ALDI Süd'!E111</f>
        <v>6.76</v>
      </c>
      <c r="N114" s="31">
        <f>M114/1000*D109</f>
        <v>3.8613119999999994E-2</v>
      </c>
      <c r="P114" s="42">
        <f>'Price list ALDI Süd'!H111</f>
        <v>6.76</v>
      </c>
      <c r="Q114" s="42">
        <f>P114/1000*D109</f>
        <v>3.8613119999999994E-2</v>
      </c>
    </row>
    <row r="115" spans="1:17" x14ac:dyDescent="0.2">
      <c r="A115" s="9">
        <v>3</v>
      </c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30.24</v>
      </c>
    </row>
    <row r="117" spans="1:17" ht="17" x14ac:dyDescent="0.2">
      <c r="B117" s="1" t="s">
        <v>230</v>
      </c>
      <c r="D117" s="7">
        <f>5*C4</f>
        <v>4.2</v>
      </c>
      <c r="E117" s="7">
        <f>D117*7</f>
        <v>29.400000000000002</v>
      </c>
      <c r="G117" s="31">
        <f>'Price list REWE '!E114</f>
        <v>5.8</v>
      </c>
      <c r="H117" s="31">
        <f>G117/1000*D117</f>
        <v>2.436E-2</v>
      </c>
      <c r="J117" s="42">
        <f>'Price list REWE '!H114</f>
        <v>11.96</v>
      </c>
      <c r="K117" s="42">
        <f>J117/1000*D117</f>
        <v>5.0232000000000006E-2</v>
      </c>
      <c r="M117" s="31">
        <f>'Price list ALDI Süd'!E114</f>
        <v>5.8</v>
      </c>
      <c r="N117" s="31">
        <f>M117/1000*D117</f>
        <v>2.436E-2</v>
      </c>
      <c r="P117" s="42">
        <f>'Price list ALDI Süd'!H114</f>
        <v>11.96</v>
      </c>
      <c r="Q117" s="42">
        <f>P117/1000*D117</f>
        <v>5.0232000000000006E-2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7" x14ac:dyDescent="0.2">
      <c r="A119" s="12" t="s">
        <v>414</v>
      </c>
      <c r="D119" s="4">
        <f>31*C4</f>
        <v>26.04</v>
      </c>
      <c r="E119" s="4">
        <f>D119*E10</f>
        <v>182.28</v>
      </c>
      <c r="F119" s="4">
        <f>120*C4</f>
        <v>100.8</v>
      </c>
    </row>
    <row r="120" spans="1:17" ht="17" x14ac:dyDescent="0.2">
      <c r="A120" s="188"/>
      <c r="B120" s="1" t="s">
        <v>234</v>
      </c>
      <c r="D120" s="1">
        <f>D119/3</f>
        <v>8.68</v>
      </c>
      <c r="E120" s="1">
        <f>D120*7</f>
        <v>60.76</v>
      </c>
      <c r="G120" s="31">
        <f>'Price list REWE '!E117</f>
        <v>1.49</v>
      </c>
      <c r="H120" s="31">
        <f>G120/1000*D120</f>
        <v>1.2933199999999999E-2</v>
      </c>
      <c r="J120" s="42">
        <f>'Price list REWE '!H117</f>
        <v>2.59</v>
      </c>
      <c r="K120" s="42">
        <f>J120/1000*D120</f>
        <v>2.2481199999999996E-2</v>
      </c>
      <c r="M120" s="31">
        <f>'Price list ALDI Süd'!E117</f>
        <v>1.49</v>
      </c>
      <c r="N120" s="31">
        <f>M120/1000*D120</f>
        <v>1.2933199999999999E-2</v>
      </c>
      <c r="P120" s="42">
        <f>'Price list ALDI Süd'!H117</f>
        <v>2.59</v>
      </c>
      <c r="Q120" s="42">
        <f>P120/1000*D120</f>
        <v>2.2481199999999996E-2</v>
      </c>
    </row>
    <row r="121" spans="1:17" ht="17" x14ac:dyDescent="0.2">
      <c r="B121" s="1" t="s">
        <v>237</v>
      </c>
      <c r="D121" s="1">
        <f>D119/3</f>
        <v>8.68</v>
      </c>
      <c r="E121" s="1">
        <f>D121*7</f>
        <v>60.76</v>
      </c>
      <c r="G121" s="31">
        <f>'Price list REWE '!E118</f>
        <v>5.9</v>
      </c>
      <c r="H121" s="31">
        <f>G121/1000*D121</f>
        <v>5.1212000000000008E-2</v>
      </c>
      <c r="J121" s="42">
        <f>'Price list REWE '!H118</f>
        <v>12.9</v>
      </c>
      <c r="K121" s="42">
        <f>J121/1000*D121</f>
        <v>0.111972</v>
      </c>
      <c r="M121" s="31">
        <f>'Price list ALDI Süd'!E118</f>
        <v>5.9</v>
      </c>
      <c r="N121" s="31">
        <f>M121/1000*D121</f>
        <v>5.1212000000000008E-2</v>
      </c>
      <c r="P121" s="42">
        <f>'Price list ALDI Süd'!H118</f>
        <v>12.9</v>
      </c>
      <c r="Q121" s="42">
        <f>P121/1000*D121</f>
        <v>0.111972</v>
      </c>
    </row>
    <row r="122" spans="1:17" ht="17" x14ac:dyDescent="0.2">
      <c r="B122" s="252" t="s">
        <v>240</v>
      </c>
      <c r="D122" s="1">
        <f>D119/3</f>
        <v>8.68</v>
      </c>
      <c r="E122" s="1">
        <f>D122*7</f>
        <v>60.76</v>
      </c>
      <c r="G122" s="31">
        <f>'Price list REWE '!E119</f>
        <v>3.66</v>
      </c>
      <c r="H122" s="31">
        <f>G122/1000*D122</f>
        <v>3.17688E-2</v>
      </c>
      <c r="J122" s="42">
        <f>'Price list REWE '!H119</f>
        <v>14.9</v>
      </c>
      <c r="K122" s="42">
        <f>J122/1000*D122</f>
        <v>0.129332</v>
      </c>
      <c r="M122" s="31">
        <f>'Price list ALDI Süd'!E119</f>
        <v>3.96</v>
      </c>
      <c r="N122" s="31">
        <f>M122/1000*D122</f>
        <v>3.4372800000000002E-2</v>
      </c>
      <c r="P122" s="42">
        <f>'Price list ALDI Süd'!H119</f>
        <v>9.4499999999999993</v>
      </c>
      <c r="Q122" s="42">
        <f>P122/1000*D122</f>
        <v>8.2026000000000002E-2</v>
      </c>
    </row>
    <row r="123" spans="1:17" x14ac:dyDescent="0.2">
      <c r="A123" s="9">
        <v>3</v>
      </c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1260</v>
      </c>
      <c r="E124" s="4">
        <f>D124*E10</f>
        <v>8820</v>
      </c>
    </row>
    <row r="125" spans="1:17" ht="17" x14ac:dyDescent="0.2">
      <c r="B125" s="1" t="s">
        <v>415</v>
      </c>
      <c r="D125" s="1">
        <f>D124-D126-D127</f>
        <v>860</v>
      </c>
      <c r="E125" s="1">
        <f>D125*7</f>
        <v>6020</v>
      </c>
      <c r="G125" s="31">
        <f>'Price list REWE '!E122</f>
        <v>0.18</v>
      </c>
      <c r="H125" s="31">
        <f>G125/1000*D125</f>
        <v>0.15479999999999999</v>
      </c>
      <c r="J125" s="42">
        <f>'Price list REWE '!H122</f>
        <v>0.18</v>
      </c>
      <c r="K125" s="42">
        <f>J125/1000*D125</f>
        <v>0.15479999999999999</v>
      </c>
      <c r="M125" s="31">
        <f>'Price list ALDI Süd'!E122</f>
        <v>0.18</v>
      </c>
      <c r="N125" s="31">
        <f>M125/1000*D125</f>
        <v>0.15479999999999999</v>
      </c>
      <c r="P125" s="42">
        <f>'Price list ALDI Süd'!H122</f>
        <v>0.18</v>
      </c>
      <c r="Q125" s="42">
        <f>P125/1000*D125</f>
        <v>0.15479999999999999</v>
      </c>
    </row>
    <row r="126" spans="1:17" ht="17" x14ac:dyDescent="0.2">
      <c r="B126" s="1" t="s">
        <v>416</v>
      </c>
      <c r="D126" s="1">
        <v>200</v>
      </c>
      <c r="E126" s="1">
        <f>D126*7</f>
        <v>1400</v>
      </c>
      <c r="G126" s="31">
        <f>'Price list REWE '!E123</f>
        <v>6.98</v>
      </c>
      <c r="H126" s="31">
        <f>G126/1000*12</f>
        <v>8.3760000000000001E-2</v>
      </c>
      <c r="J126" s="42">
        <f>'Price list REWE '!H123</f>
        <v>11.98</v>
      </c>
      <c r="K126" s="42">
        <f>J126/1000*12</f>
        <v>0.14376</v>
      </c>
      <c r="M126" s="31">
        <f>'Price list ALDI Süd'!E123</f>
        <v>7.98</v>
      </c>
      <c r="N126" s="31">
        <f>M126/1000*12</f>
        <v>9.5760000000000012E-2</v>
      </c>
      <c r="P126" s="42">
        <f>'Price list ALDI Süd'!H123</f>
        <v>11.38</v>
      </c>
      <c r="Q126" s="42">
        <f>P126/1000*12</f>
        <v>0.13656000000000001</v>
      </c>
    </row>
    <row r="127" spans="1:17" ht="17" x14ac:dyDescent="0.2">
      <c r="B127" s="1" t="s">
        <v>417</v>
      </c>
      <c r="D127" s="1">
        <v>200</v>
      </c>
      <c r="E127" s="1">
        <f>D127*7</f>
        <v>1400</v>
      </c>
      <c r="G127" s="31">
        <f>'Price list REWE '!E124</f>
        <v>12.27</v>
      </c>
      <c r="H127" s="31">
        <f>G127/1000*(56/25)</f>
        <v>2.74848E-2</v>
      </c>
      <c r="J127" s="42">
        <f>'Price list REWE '!H124</f>
        <v>67.25</v>
      </c>
      <c r="K127" s="42">
        <f>J127/1000*(40/20)</f>
        <v>0.13450000000000001</v>
      </c>
      <c r="M127" s="31">
        <f>'Price list ALDI Süd'!E124</f>
        <v>12.27</v>
      </c>
      <c r="N127" s="31">
        <f>M127/1000*(56.25/25)</f>
        <v>2.76075E-2</v>
      </c>
      <c r="P127" s="42">
        <f>'Price list ALDI Süd'!H124</f>
        <v>67.25</v>
      </c>
      <c r="Q127" s="42">
        <f>P127/1000*(40/20)</f>
        <v>0.13450000000000001</v>
      </c>
    </row>
    <row r="128" spans="1:17" ht="17" x14ac:dyDescent="0.2">
      <c r="B128" s="1" t="s">
        <v>439</v>
      </c>
      <c r="D128" s="1">
        <f>E128/7</f>
        <v>47.142857142857146</v>
      </c>
      <c r="E128" s="1">
        <v>330</v>
      </c>
      <c r="G128" s="31">
        <f>'Price list REWE '!E125</f>
        <v>0.9</v>
      </c>
      <c r="H128" s="31">
        <f>G128/1000*D128</f>
        <v>4.2428571428571434E-2</v>
      </c>
      <c r="J128" s="42">
        <f>'Price list REWE '!H125</f>
        <v>2</v>
      </c>
      <c r="K128" s="42">
        <f>J128/1000*D128</f>
        <v>9.4285714285714292E-2</v>
      </c>
      <c r="M128" s="31">
        <f>'Price list ALDI Süd'!E125</f>
        <v>0.9</v>
      </c>
      <c r="N128" s="31">
        <f>M128/1000*D128</f>
        <v>4.2428571428571434E-2</v>
      </c>
      <c r="P128" s="42">
        <f>'Price list ALDI Süd'!H125</f>
        <v>2</v>
      </c>
      <c r="Q128" s="42">
        <f>P128/1000*D128</f>
        <v>9.4285714285714292E-2</v>
      </c>
    </row>
    <row r="129" spans="1:19" ht="17" x14ac:dyDescent="0.2">
      <c r="B129" s="1" t="s">
        <v>440</v>
      </c>
      <c r="D129" s="1">
        <f>E129/7</f>
        <v>35.714285714285715</v>
      </c>
      <c r="E129" s="1">
        <v>250</v>
      </c>
      <c r="G129" s="31">
        <f>'Price list REWE '!E126</f>
        <v>2.65</v>
      </c>
      <c r="H129" s="31">
        <f>G129/1000*D129</f>
        <v>9.464285714285714E-2</v>
      </c>
      <c r="J129" s="42">
        <f>'Price list REWE '!H126</f>
        <v>5.32</v>
      </c>
      <c r="K129" s="42">
        <f>J129/1000*D129</f>
        <v>0.19</v>
      </c>
      <c r="M129" s="31">
        <f>'Price list ALDI Süd'!E126</f>
        <v>2.92</v>
      </c>
      <c r="N129" s="31">
        <f>M129/1000*D129</f>
        <v>0.10428571428571429</v>
      </c>
      <c r="P129" s="42">
        <f>'Price list ALDI Süd'!H126</f>
        <v>3.45</v>
      </c>
      <c r="Q129" s="42">
        <f>P129/1000*D129</f>
        <v>0.12321428571428573</v>
      </c>
    </row>
    <row r="130" spans="1:19" x14ac:dyDescent="0.2">
      <c r="A130" s="9">
        <v>5</v>
      </c>
    </row>
    <row r="132" spans="1:19" s="4" customFormat="1" ht="17" x14ac:dyDescent="0.2">
      <c r="A132" s="185" t="s">
        <v>431</v>
      </c>
      <c r="F132" s="12" t="s">
        <v>423</v>
      </c>
      <c r="G132" s="91"/>
      <c r="H132" s="185" t="s">
        <v>432</v>
      </c>
      <c r="I132" s="81"/>
      <c r="J132" s="81"/>
      <c r="K132" s="185" t="s">
        <v>432</v>
      </c>
      <c r="L132" s="220"/>
      <c r="M132" s="220"/>
      <c r="N132" s="185" t="s">
        <v>432</v>
      </c>
      <c r="O132" s="220"/>
      <c r="P132" s="220"/>
      <c r="Q132" s="185" t="s">
        <v>432</v>
      </c>
      <c r="R132" s="255"/>
      <c r="S132" s="92"/>
    </row>
    <row r="133" spans="1:19" ht="17" x14ac:dyDescent="0.2">
      <c r="A133" s="273">
        <f>A130+A123+A118+A115+A107+A103+A99+A95+A87+A82+A79+A76+A73+A70+A59+A47+A40+A20+A17+A32+A110</f>
        <v>75</v>
      </c>
      <c r="D133" s="9"/>
      <c r="E133" s="9"/>
      <c r="F133" s="1">
        <f>F119+F116+F111+F108+F104+F101+F96+F88+F83+F80+F77+F74+F71+F60+F48+F41+F33+F23+F18+F11</f>
        <v>2102.5199999999995</v>
      </c>
      <c r="H133" s="1" t="s">
        <v>433</v>
      </c>
      <c r="K133" s="1" t="s">
        <v>433</v>
      </c>
      <c r="N133" s="1" t="s">
        <v>433</v>
      </c>
      <c r="Q133" s="1" t="s">
        <v>433</v>
      </c>
    </row>
    <row r="134" spans="1:19" x14ac:dyDescent="0.2">
      <c r="H134" s="1">
        <f>SUM(H12:H129)</f>
        <v>3.9593028212877153</v>
      </c>
      <c r="K134" s="1">
        <f>SUM(K12:K129)</f>
        <v>6.1840233053028797</v>
      </c>
      <c r="N134" s="1">
        <f>SUM(N12:N129)</f>
        <v>3.8586858528431982</v>
      </c>
      <c r="Q134" s="1">
        <f>SUM(Q12:Q129)</f>
        <v>5.5065697027951783</v>
      </c>
    </row>
    <row r="135" spans="1:19" x14ac:dyDescent="0.2"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9" ht="17" x14ac:dyDescent="0.2">
      <c r="H136" s="9" t="s">
        <v>434</v>
      </c>
      <c r="I136" s="9"/>
      <c r="J136" s="9"/>
      <c r="K136" s="9" t="s">
        <v>434</v>
      </c>
      <c r="L136" s="9"/>
      <c r="M136" s="9"/>
      <c r="N136" s="9" t="s">
        <v>434</v>
      </c>
      <c r="O136" s="9"/>
      <c r="P136" s="9"/>
      <c r="Q136" s="9" t="s">
        <v>434</v>
      </c>
    </row>
    <row r="137" spans="1:19" x14ac:dyDescent="0.2">
      <c r="H137" s="9">
        <f>H134*30</f>
        <v>118.77908463863146</v>
      </c>
      <c r="I137" s="9"/>
      <c r="J137" s="9"/>
      <c r="K137" s="9">
        <f>K134*30</f>
        <v>185.5206991590864</v>
      </c>
      <c r="L137" s="9"/>
      <c r="M137" s="9"/>
      <c r="N137" s="9">
        <f>N134*30</f>
        <v>115.76057558529595</v>
      </c>
      <c r="O137" s="9"/>
      <c r="P137" s="9"/>
      <c r="Q137" s="9">
        <f>Q134*30</f>
        <v>165.19709108385536</v>
      </c>
    </row>
  </sheetData>
  <mergeCells count="9">
    <mergeCell ref="A2:Q2"/>
    <mergeCell ref="G5:K6"/>
    <mergeCell ref="M5:Q6"/>
    <mergeCell ref="A1:Q1"/>
    <mergeCell ref="G7:H8"/>
    <mergeCell ref="J7:K8"/>
    <mergeCell ref="M7:N8"/>
    <mergeCell ref="P7:Q8"/>
    <mergeCell ref="A4:B4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F4D03-6A09-5A45-BE9B-5C2582083B8E}">
  <sheetPr codeName="Tabelle23">
    <tabColor theme="4" tint="0.79998168889431442"/>
    <pageSetUpPr fitToPage="1"/>
  </sheetPr>
  <dimension ref="A1:S137"/>
  <sheetViews>
    <sheetView zoomScaleNormal="80" workbookViewId="0">
      <pane ySplit="9" topLeftCell="A104" activePane="bottomLeft" state="frozen"/>
      <selection pane="bottomLeft" sqref="A1:Q1"/>
    </sheetView>
  </sheetViews>
  <sheetFormatPr baseColWidth="10" defaultColWidth="10.83203125" defaultRowHeight="16" x14ac:dyDescent="0.2"/>
  <cols>
    <col min="1" max="1" width="25.6640625" style="9" customWidth="1"/>
    <col min="2" max="2" width="31" style="1" customWidth="1"/>
    <col min="3" max="3" width="12.83203125" style="1" customWidth="1"/>
    <col min="4" max="4" width="19.33203125" style="1" customWidth="1"/>
    <col min="5" max="5" width="22" style="1" customWidth="1"/>
    <col min="6" max="6" width="15.1640625" style="1" customWidth="1"/>
    <col min="7" max="8" width="16" style="1" customWidth="1"/>
    <col min="9" max="10" width="15.5" style="1" customWidth="1"/>
    <col min="11" max="12" width="15.6640625" style="1" customWidth="1"/>
    <col min="13" max="13" width="15.33203125" style="1" customWidth="1"/>
    <col min="14" max="14" width="15.1640625" style="1" customWidth="1"/>
    <col min="15" max="15" width="10.83203125" style="1"/>
    <col min="16" max="16" width="15.6640625" style="1" customWidth="1"/>
    <col min="17" max="17" width="15.83203125" style="1" customWidth="1"/>
    <col min="18" max="16384" width="10.83203125" style="1"/>
  </cols>
  <sheetData>
    <row r="1" spans="1:17" ht="19" customHeight="1" x14ac:dyDescent="0.2">
      <c r="A1" s="420" t="s">
        <v>632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19" customHeight="1" x14ac:dyDescent="0.2">
      <c r="A2" s="420" t="s">
        <v>441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x14ac:dyDescent="0.2">
      <c r="A3" s="125"/>
      <c r="B3" s="126"/>
      <c r="C3" s="126"/>
      <c r="D3" s="126"/>
      <c r="E3" s="126"/>
      <c r="F3" s="13"/>
    </row>
    <row r="4" spans="1:17" ht="16" customHeight="1" x14ac:dyDescent="0.2">
      <c r="A4" s="430" t="s">
        <v>426</v>
      </c>
      <c r="B4" s="431"/>
      <c r="C4" s="9">
        <f>2700/2500</f>
        <v>1.08</v>
      </c>
      <c r="D4" s="114"/>
      <c r="E4" s="90"/>
      <c r="F4" s="13"/>
    </row>
    <row r="5" spans="1:17" x14ac:dyDescent="0.2">
      <c r="B5" s="9"/>
      <c r="C5" s="9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x14ac:dyDescent="0.2">
      <c r="B6" s="9"/>
      <c r="C6" s="9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B7" s="9"/>
      <c r="C7" s="9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457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250.56</v>
      </c>
      <c r="E11" s="4">
        <f>D11*$E$10</f>
        <v>1753.92</v>
      </c>
      <c r="F11" s="4">
        <f>811*C4</f>
        <v>875.88000000000011</v>
      </c>
    </row>
    <row r="12" spans="1:17" ht="19" customHeight="1" x14ac:dyDescent="0.2">
      <c r="B12" s="1" t="s">
        <v>24</v>
      </c>
      <c r="D12" s="1">
        <f>30*C4</f>
        <v>32.400000000000006</v>
      </c>
      <c r="E12" s="1">
        <f t="shared" ref="E12:E16" si="0">D12*$E$10</f>
        <v>226.80000000000004</v>
      </c>
      <c r="G12" s="31">
        <f>'Price list REWE '!E9</f>
        <v>2.89</v>
      </c>
      <c r="H12" s="31">
        <f>G12/1000*D12</f>
        <v>9.3636000000000025E-2</v>
      </c>
      <c r="J12" s="42">
        <f>'Price list REWE '!H9</f>
        <v>2.89</v>
      </c>
      <c r="K12" s="42">
        <f>J12/1000*D12</f>
        <v>9.3636000000000025E-2</v>
      </c>
      <c r="M12" s="31">
        <f>'Price list ALDI Süd'!E9</f>
        <v>2.89</v>
      </c>
      <c r="N12" s="31">
        <f>M12/1000*D12</f>
        <v>9.3636000000000025E-2</v>
      </c>
      <c r="P12" s="42">
        <f>'Price list ALDI Süd'!H9</f>
        <v>2.89</v>
      </c>
      <c r="Q12" s="42">
        <f>P12/1000*D12</f>
        <v>9.3636000000000025E-2</v>
      </c>
    </row>
    <row r="13" spans="1:17" ht="17" x14ac:dyDescent="0.2">
      <c r="B13" s="1" t="s">
        <v>27</v>
      </c>
      <c r="D13" s="1">
        <f>50*C4</f>
        <v>54</v>
      </c>
      <c r="E13" s="1">
        <f t="shared" si="0"/>
        <v>378</v>
      </c>
      <c r="G13" s="31">
        <f>'Price list REWE '!E10</f>
        <v>1.58</v>
      </c>
      <c r="H13" s="31">
        <f>G13/1000*D13</f>
        <v>8.5320000000000007E-2</v>
      </c>
      <c r="J13" s="42">
        <f>'Price list REWE '!H10</f>
        <v>4.38</v>
      </c>
      <c r="K13" s="42">
        <f>J13/1000*D13</f>
        <v>0.23652000000000001</v>
      </c>
      <c r="M13" s="31">
        <f>'Price list ALDI Süd'!E10</f>
        <v>3.48</v>
      </c>
      <c r="N13" s="31">
        <f>M13/1000*D13</f>
        <v>0.18792</v>
      </c>
      <c r="P13" s="42">
        <f>'Price list ALDI Süd'!H10</f>
        <v>4.38</v>
      </c>
      <c r="Q13" s="42">
        <f>P13/1000*D13</f>
        <v>0.23652000000000001</v>
      </c>
    </row>
    <row r="14" spans="1:17" ht="17" x14ac:dyDescent="0.2">
      <c r="B14" s="1" t="s">
        <v>30</v>
      </c>
      <c r="D14" s="1">
        <f>50*C4</f>
        <v>54</v>
      </c>
      <c r="E14" s="1">
        <f t="shared" si="0"/>
        <v>378</v>
      </c>
      <c r="G14" s="31">
        <f>'Price list REWE '!E11</f>
        <v>2.13</v>
      </c>
      <c r="H14" s="31">
        <f>G14/1000*D14</f>
        <v>0.11502</v>
      </c>
      <c r="J14" s="42">
        <f>'Price list REWE '!H11</f>
        <v>4.25</v>
      </c>
      <c r="K14" s="42">
        <f>J14/1000*D14</f>
        <v>0.22950000000000001</v>
      </c>
      <c r="M14" s="31">
        <f>'Price list ALDI Süd'!E11</f>
        <v>2.84</v>
      </c>
      <c r="N14" s="31">
        <f>M14/1000*D14</f>
        <v>0.15335999999999997</v>
      </c>
      <c r="P14" s="42">
        <f>'Price list ALDI Süd'!H11</f>
        <v>5.25</v>
      </c>
      <c r="Q14" s="42">
        <f>P14/1000*D14</f>
        <v>0.28350000000000003</v>
      </c>
    </row>
    <row r="15" spans="1:17" ht="17" x14ac:dyDescent="0.2">
      <c r="B15" s="1" t="s">
        <v>33</v>
      </c>
      <c r="D15" s="1">
        <f>40*C4</f>
        <v>43.2</v>
      </c>
      <c r="E15" s="1">
        <f>D15*$E$10</f>
        <v>302.40000000000003</v>
      </c>
      <c r="G15" s="31">
        <f>'Price list REWE '!E12</f>
        <v>1.58</v>
      </c>
      <c r="H15" s="31">
        <f>G15/1000*D15</f>
        <v>6.8256000000000011E-2</v>
      </c>
      <c r="J15" s="42">
        <f>'Price list REWE '!H12</f>
        <v>1.98</v>
      </c>
      <c r="K15" s="42">
        <f>J15/1000*D15</f>
        <v>8.5536000000000001E-2</v>
      </c>
      <c r="M15" s="31">
        <f>'Price list ALDI Süd'!E12</f>
        <v>1.58</v>
      </c>
      <c r="N15" s="31">
        <f>M15/1000*D15</f>
        <v>6.8256000000000011E-2</v>
      </c>
      <c r="P15" s="42">
        <f>'Price list ALDI Süd'!H12</f>
        <v>1.9</v>
      </c>
      <c r="Q15" s="42">
        <f>P15/1000*D15</f>
        <v>8.208E-2</v>
      </c>
    </row>
    <row r="16" spans="1:17" ht="17" x14ac:dyDescent="0.2">
      <c r="B16" s="1" t="s">
        <v>36</v>
      </c>
      <c r="D16" s="1">
        <f>62*C4</f>
        <v>66.960000000000008</v>
      </c>
      <c r="E16" s="1">
        <f t="shared" si="0"/>
        <v>468.72</v>
      </c>
      <c r="G16" s="31">
        <f>'Price list REWE '!E13</f>
        <v>3.58</v>
      </c>
      <c r="H16" s="31">
        <f>G16/1000*D16</f>
        <v>0.23971680000000004</v>
      </c>
      <c r="J16" s="42">
        <f>'Price list REWE '!H13</f>
        <v>2.98</v>
      </c>
      <c r="K16" s="42">
        <f>J16/1000*D16</f>
        <v>0.19954080000000002</v>
      </c>
      <c r="M16" s="31">
        <f>'Price list ALDI Süd'!E13</f>
        <v>2.98</v>
      </c>
      <c r="N16" s="31">
        <f>M16/1000*D16</f>
        <v>0.19954080000000002</v>
      </c>
      <c r="P16" s="42">
        <f>'Price list ALDI Süd'!H13</f>
        <v>2.98</v>
      </c>
      <c r="Q16" s="42">
        <f>P16/1000*D16</f>
        <v>0.19954080000000002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54</v>
      </c>
      <c r="E18" s="4">
        <f>D18*$E$10</f>
        <v>378</v>
      </c>
      <c r="F18" s="4">
        <f>39*C4</f>
        <v>42.120000000000005</v>
      </c>
      <c r="G18" s="12"/>
    </row>
    <row r="19" spans="1:17" ht="17" x14ac:dyDescent="0.2">
      <c r="B19" s="1" t="s">
        <v>41</v>
      </c>
      <c r="D19" s="1">
        <f>50*C4</f>
        <v>54</v>
      </c>
      <c r="E19" s="1">
        <f>D19*E10</f>
        <v>378</v>
      </c>
      <c r="G19" s="31">
        <f>'Price list REWE '!E16</f>
        <v>0.92</v>
      </c>
      <c r="H19" s="31">
        <f>G19/1000*D19</f>
        <v>4.9680000000000002E-2</v>
      </c>
      <c r="J19" s="42">
        <f>'Price list REWE '!H16</f>
        <v>1.53</v>
      </c>
      <c r="K19" s="42">
        <f>J19/1000*D19</f>
        <v>8.2619999999999999E-2</v>
      </c>
      <c r="M19" s="31">
        <f>'Price list ALDI Süd'!E16</f>
        <v>0.96</v>
      </c>
      <c r="N19" s="31">
        <f>M19/1000*D19</f>
        <v>5.1839999999999997E-2</v>
      </c>
      <c r="P19" s="42">
        <f>'Price list ALDI Süd'!H16</f>
        <v>1.46</v>
      </c>
      <c r="Q19" s="42">
        <f>P19/1000*D19</f>
        <v>7.8839999999999993E-2</v>
      </c>
    </row>
    <row r="20" spans="1:17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324</v>
      </c>
      <c r="E21" s="4">
        <f>D21*$E$10</f>
        <v>2268</v>
      </c>
    </row>
    <row r="22" spans="1:17" x14ac:dyDescent="0.2">
      <c r="C22" s="6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108</v>
      </c>
      <c r="E23" s="4">
        <f>D23*7</f>
        <v>756</v>
      </c>
      <c r="F23" s="4">
        <f>23*C4</f>
        <v>24.840000000000003</v>
      </c>
      <c r="G23" s="12"/>
    </row>
    <row r="24" spans="1:17" ht="17" x14ac:dyDescent="0.2">
      <c r="B24" s="16" t="s">
        <v>392</v>
      </c>
      <c r="C24" s="340">
        <v>8.1854823894030371E-2</v>
      </c>
      <c r="D24" s="6">
        <f>C24*$D$23</f>
        <v>8.8403209805552798</v>
      </c>
      <c r="E24" s="1">
        <f>D24*7</f>
        <v>61.882246863886962</v>
      </c>
      <c r="G24" s="33">
        <f>'Price list REWE '!E21</f>
        <v>3.0944625407166124</v>
      </c>
      <c r="H24" s="31">
        <f t="shared" ref="H24:H31" si="1">G24/1000*D24</f>
        <v>2.7356042122239469E-2</v>
      </c>
      <c r="J24" s="42">
        <f>'Price list REWE '!H21</f>
        <v>3.0944625407166124</v>
      </c>
      <c r="K24" s="42">
        <f t="shared" ref="K24:K31" si="2">J24/1000*D24</f>
        <v>2.7356042122239469E-2</v>
      </c>
      <c r="M24" s="31">
        <f>'Price list ALDI Süd'!E21</f>
        <v>2.2475570032573291</v>
      </c>
      <c r="N24" s="31">
        <f t="shared" ref="N24:N31" si="3">M24/1000*D24</f>
        <v>1.986912533088972E-2</v>
      </c>
      <c r="P24" s="42">
        <f>'Price list ALDI Süd'!H21</f>
        <v>2.2475570032573291</v>
      </c>
      <c r="Q24" s="42">
        <f t="shared" ref="Q24:Q31" si="4">P24/1000*D24</f>
        <v>1.986912533088972E-2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5">C25*$D$23</f>
        <v>4.5177886751384611</v>
      </c>
      <c r="E25" s="1">
        <f t="shared" ref="E25:E31" si="6">D25*7</f>
        <v>31.624520725969226</v>
      </c>
      <c r="G25" s="33">
        <f>'Price list REWE '!E22</f>
        <v>2.875</v>
      </c>
      <c r="H25" s="31">
        <f t="shared" si="1"/>
        <v>1.2988642441023076E-2</v>
      </c>
      <c r="J25" s="42">
        <f>'Price list REWE '!H22</f>
        <v>5.98</v>
      </c>
      <c r="K25" s="42">
        <f t="shared" si="2"/>
        <v>2.7016376277327999E-2</v>
      </c>
      <c r="M25" s="31">
        <f>'Price list ALDI Süd'!E22</f>
        <v>2.875</v>
      </c>
      <c r="N25" s="31">
        <f t="shared" si="3"/>
        <v>1.2988642441023076E-2</v>
      </c>
      <c r="P25" s="42">
        <f>'Price list ALDI Süd'!H22</f>
        <v>11.96</v>
      </c>
      <c r="Q25" s="42">
        <f t="shared" si="4"/>
        <v>5.4032752554655998E-2</v>
      </c>
    </row>
    <row r="26" spans="1:17" ht="17" x14ac:dyDescent="0.2">
      <c r="B26" s="16" t="s">
        <v>51</v>
      </c>
      <c r="C26" s="340">
        <v>5.5140886754685689E-2</v>
      </c>
      <c r="D26" s="6">
        <f t="shared" si="5"/>
        <v>5.9552157695060544</v>
      </c>
      <c r="E26" s="1">
        <f t="shared" si="6"/>
        <v>41.686510386542381</v>
      </c>
      <c r="G26" s="33">
        <f>'Price list REWE '!E23</f>
        <v>1.76</v>
      </c>
      <c r="H26" s="31">
        <f t="shared" si="1"/>
        <v>1.0481179754330655E-2</v>
      </c>
      <c r="J26" s="42">
        <f>'Price list REWE '!H23</f>
        <v>3.32</v>
      </c>
      <c r="K26" s="42">
        <f t="shared" si="2"/>
        <v>1.97713163547601E-2</v>
      </c>
      <c r="M26" s="31">
        <f>'Price list ALDI Süd'!E23</f>
        <v>1.99</v>
      </c>
      <c r="N26" s="31">
        <f t="shared" si="3"/>
        <v>1.1850879381317049E-2</v>
      </c>
      <c r="P26" s="42">
        <f>'Price list ALDI Süd'!H23</f>
        <v>3.32</v>
      </c>
      <c r="Q26" s="42">
        <f t="shared" si="4"/>
        <v>1.97713163547601E-2</v>
      </c>
    </row>
    <row r="27" spans="1:17" ht="17" x14ac:dyDescent="0.2">
      <c r="B27" s="16" t="s">
        <v>394</v>
      </c>
      <c r="C27" s="340">
        <v>7.8411761271535096E-2</v>
      </c>
      <c r="D27" s="6">
        <f t="shared" si="5"/>
        <v>8.4684702173257911</v>
      </c>
      <c r="E27" s="1">
        <f t="shared" si="6"/>
        <v>59.279291521280541</v>
      </c>
      <c r="G27" s="33">
        <f>'Price list REWE '!E24</f>
        <v>1.8349928876244666</v>
      </c>
      <c r="H27" s="31">
        <f t="shared" si="1"/>
        <v>1.5539582617852446E-2</v>
      </c>
      <c r="J27" s="42">
        <f>'Price list REWE '!H24</f>
        <v>3.8264580369843526</v>
      </c>
      <c r="K27" s="42">
        <f t="shared" si="2"/>
        <v>3.2404245924048898E-2</v>
      </c>
      <c r="M27" s="31">
        <f>'Price list ALDI Süd'!E24</f>
        <v>1.4082503556187767</v>
      </c>
      <c r="N27" s="31">
        <f t="shared" si="3"/>
        <v>1.1925726195096064E-2</v>
      </c>
      <c r="P27" s="42">
        <f>'Price list ALDI Süd'!H24</f>
        <v>3.8264580369843526</v>
      </c>
      <c r="Q27" s="42">
        <f t="shared" si="4"/>
        <v>3.2404245924048898E-2</v>
      </c>
    </row>
    <row r="28" spans="1:17" ht="17" x14ac:dyDescent="0.2">
      <c r="B28" s="16" t="s">
        <v>395</v>
      </c>
      <c r="C28" s="340">
        <v>0.10804527200358816</v>
      </c>
      <c r="D28" s="6">
        <f t="shared" si="5"/>
        <v>11.66888937638752</v>
      </c>
      <c r="E28" s="1">
        <f t="shared" si="6"/>
        <v>81.682225634712637</v>
      </c>
      <c r="G28" s="33">
        <f>'Price list REWE '!E25</f>
        <v>6.2402088772845961</v>
      </c>
      <c r="H28" s="31">
        <f t="shared" si="1"/>
        <v>7.2816307074585321E-2</v>
      </c>
      <c r="J28" s="42">
        <f>'Price list REWE '!H25</f>
        <v>6.5013054830287214</v>
      </c>
      <c r="K28" s="42">
        <f t="shared" si="2"/>
        <v>7.5863014483563779E-2</v>
      </c>
      <c r="M28" s="31">
        <f>'Price list ALDI Süd'!E25</f>
        <v>4.125</v>
      </c>
      <c r="N28" s="31">
        <f t="shared" si="3"/>
        <v>4.8134168677598524E-2</v>
      </c>
      <c r="P28" s="42">
        <f>'Price list ALDI Süd'!H25</f>
        <v>7.041666666666667</v>
      </c>
      <c r="Q28" s="42">
        <f t="shared" si="4"/>
        <v>8.2168429358728784E-2</v>
      </c>
    </row>
    <row r="29" spans="1:17" ht="17" x14ac:dyDescent="0.2">
      <c r="B29" s="16" t="s">
        <v>396</v>
      </c>
      <c r="C29" s="340">
        <v>0.24433687491347134</v>
      </c>
      <c r="D29" s="6">
        <f t="shared" si="5"/>
        <v>26.388382490654905</v>
      </c>
      <c r="E29" s="1">
        <f t="shared" si="6"/>
        <v>184.71867743458432</v>
      </c>
      <c r="G29" s="33">
        <f>'Price list REWE '!E26</f>
        <v>1.0745614035087721</v>
      </c>
      <c r="H29" s="31">
        <f t="shared" si="1"/>
        <v>2.8355937325484443E-2</v>
      </c>
      <c r="J29" s="42">
        <f>'Price list REWE '!H26</f>
        <v>3.2675438596491229</v>
      </c>
      <c r="K29" s="42">
        <f t="shared" si="2"/>
        <v>8.6225197173411872E-2</v>
      </c>
      <c r="M29" s="31">
        <f>'Price list ALDI Süd'!E26</f>
        <v>1.0745614035087721</v>
      </c>
      <c r="N29" s="31">
        <f t="shared" si="3"/>
        <v>2.8355937325484443E-2</v>
      </c>
      <c r="P29" s="42">
        <f>'Price list ALDI Süd'!H26</f>
        <v>1.2938596491228069</v>
      </c>
      <c r="Q29" s="42">
        <f t="shared" si="4"/>
        <v>3.4142863310277181E-2</v>
      </c>
    </row>
    <row r="30" spans="1:17" ht="17" x14ac:dyDescent="0.2">
      <c r="B30" s="16" t="s">
        <v>63</v>
      </c>
      <c r="C30" s="340">
        <v>0.19518950227051848</v>
      </c>
      <c r="D30" s="6">
        <f t="shared" si="5"/>
        <v>21.080466245215995</v>
      </c>
      <c r="E30" s="1">
        <f t="shared" si="6"/>
        <v>147.56326371651195</v>
      </c>
      <c r="G30" s="33">
        <f>'Price list REWE '!E27</f>
        <v>1.79</v>
      </c>
      <c r="H30" s="31">
        <f t="shared" si="1"/>
        <v>3.7734034578936634E-2</v>
      </c>
      <c r="J30" s="42">
        <f>'Price list REWE '!H27</f>
        <v>3.58</v>
      </c>
      <c r="K30" s="42">
        <f t="shared" si="2"/>
        <v>7.5468069157873269E-2</v>
      </c>
      <c r="M30" s="31">
        <f>'Price list ALDI Süd'!E27</f>
        <v>1.49</v>
      </c>
      <c r="N30" s="31">
        <f t="shared" si="3"/>
        <v>3.1409894705371831E-2</v>
      </c>
      <c r="P30" s="42">
        <f>'Price list ALDI Süd'!H27</f>
        <v>1.78</v>
      </c>
      <c r="Q30" s="42">
        <f t="shared" si="4"/>
        <v>3.752322991648447E-2</v>
      </c>
    </row>
    <row r="31" spans="1:17" ht="17" x14ac:dyDescent="0.2">
      <c r="B31" s="16" t="s">
        <v>66</v>
      </c>
      <c r="C31" s="340">
        <v>0.19518950227051848</v>
      </c>
      <c r="D31" s="6">
        <f t="shared" si="5"/>
        <v>21.080466245215995</v>
      </c>
      <c r="E31" s="1">
        <f t="shared" si="6"/>
        <v>147.56326371651195</v>
      </c>
      <c r="G31" s="33">
        <f>'Price list REWE '!E28</f>
        <v>1.99</v>
      </c>
      <c r="H31" s="31">
        <f t="shared" si="1"/>
        <v>4.1950127827979827E-2</v>
      </c>
      <c r="J31" s="42">
        <f>'Price list REWE '!H28</f>
        <v>5.3</v>
      </c>
      <c r="K31" s="42">
        <f t="shared" si="2"/>
        <v>0.11172647109964477</v>
      </c>
      <c r="M31" s="31">
        <f>'Price list ALDI Süd'!E28</f>
        <v>1.99</v>
      </c>
      <c r="N31" s="31">
        <f t="shared" si="3"/>
        <v>4.1950127827979827E-2</v>
      </c>
      <c r="P31" s="42">
        <f>'Price list ALDI Süd'!H28</f>
        <v>5.3</v>
      </c>
      <c r="Q31" s="42">
        <f t="shared" si="4"/>
        <v>0.11172647109964477</v>
      </c>
    </row>
    <row r="32" spans="1:17" x14ac:dyDescent="0.2">
      <c r="A32" s="9">
        <v>8</v>
      </c>
      <c r="B32" s="16"/>
      <c r="C32" s="340"/>
      <c r="G32" s="33"/>
      <c r="H32" s="31"/>
      <c r="J32" s="42"/>
      <c r="K32" s="42"/>
      <c r="M32" s="31"/>
      <c r="N32" s="31"/>
      <c r="P32" s="42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108</v>
      </c>
      <c r="F33" s="4">
        <f>30*C4</f>
        <v>32.400000000000006</v>
      </c>
      <c r="G33" s="12"/>
    </row>
    <row r="34" spans="1:17" ht="17" x14ac:dyDescent="0.2">
      <c r="B34" s="23" t="s">
        <v>70</v>
      </c>
      <c r="C34" s="340">
        <v>0.21012979994107583</v>
      </c>
      <c r="D34" s="6">
        <f>C34*D33</f>
        <v>22.694018393636192</v>
      </c>
      <c r="E34" s="1">
        <f t="shared" ref="E34:E39" si="7">D34*7</f>
        <v>158.85812875545335</v>
      </c>
      <c r="G34" s="33">
        <f>'Price list REWE '!E31</f>
        <v>1.75</v>
      </c>
      <c r="H34" s="31">
        <f t="shared" ref="H34:H39" si="8">G34/1000*D34</f>
        <v>3.9714532188863338E-2</v>
      </c>
      <c r="J34" s="42">
        <f>'Price list REWE '!H31</f>
        <v>2.79</v>
      </c>
      <c r="K34" s="42">
        <f t="shared" ref="K34:K39" si="9">J34/1000*D34</f>
        <v>6.3316311318244972E-2</v>
      </c>
      <c r="M34" s="31">
        <f>'Price list ALDI Süd'!E31</f>
        <v>1.5</v>
      </c>
      <c r="N34" s="31">
        <f t="shared" ref="N34:N39" si="10">M34/1000*D34</f>
        <v>3.4041027590454291E-2</v>
      </c>
      <c r="P34" s="42">
        <f>'Price list ALDI Süd'!H31</f>
        <v>2.19</v>
      </c>
      <c r="Q34" s="42">
        <f t="shared" ref="Q34:Q39" si="11">P34/1000*D34</f>
        <v>4.969990028206326E-2</v>
      </c>
    </row>
    <row r="35" spans="1:17" ht="17" x14ac:dyDescent="0.2">
      <c r="B35" s="16" t="s">
        <v>73</v>
      </c>
      <c r="C35" s="340">
        <v>0.19042830974833957</v>
      </c>
      <c r="D35" s="6">
        <f>C35*D33</f>
        <v>20.566257452820675</v>
      </c>
      <c r="E35" s="1">
        <f t="shared" si="7"/>
        <v>143.96380216974472</v>
      </c>
      <c r="G35" s="33">
        <f>'Price list REWE '!E32</f>
        <v>2.79</v>
      </c>
      <c r="H35" s="31">
        <f t="shared" si="8"/>
        <v>5.7379858293369682E-2</v>
      </c>
      <c r="J35" s="42">
        <f>'Price list REWE '!H32</f>
        <v>5.18</v>
      </c>
      <c r="K35" s="42">
        <f t="shared" si="9"/>
        <v>0.10653321360561109</v>
      </c>
      <c r="M35" s="31">
        <f>'Price list ALDI Süd'!E32</f>
        <v>1.79</v>
      </c>
      <c r="N35" s="31">
        <f t="shared" si="10"/>
        <v>3.6813600840549014E-2</v>
      </c>
      <c r="P35" s="42">
        <f>'Price list ALDI Süd'!H32</f>
        <v>4.58</v>
      </c>
      <c r="Q35" s="42">
        <f t="shared" si="11"/>
        <v>9.4193459133918689E-2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20.566257452820675</v>
      </c>
      <c r="E36" s="1">
        <f t="shared" si="7"/>
        <v>143.96380216974472</v>
      </c>
      <c r="G36" s="33">
        <f>'Price list REWE '!E33</f>
        <v>1.7</v>
      </c>
      <c r="H36" s="31">
        <f t="shared" si="8"/>
        <v>3.4962637669795148E-2</v>
      </c>
      <c r="J36" s="42">
        <f>'Price list REWE '!H33</f>
        <v>2.27</v>
      </c>
      <c r="K36" s="42">
        <f t="shared" si="9"/>
        <v>4.6685404417902927E-2</v>
      </c>
      <c r="M36" s="31">
        <f>'Price list ALDI Süd'!E33</f>
        <v>1.7</v>
      </c>
      <c r="N36" s="31">
        <f t="shared" si="10"/>
        <v>3.4962637669795148E-2</v>
      </c>
      <c r="P36" s="42">
        <f>'Price list ALDI Süd'!H33</f>
        <v>1.98</v>
      </c>
      <c r="Q36" s="42">
        <f t="shared" si="11"/>
        <v>4.0721189756584938E-2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20.566257452820675</v>
      </c>
      <c r="E37" s="1">
        <f t="shared" si="7"/>
        <v>143.96380216974472</v>
      </c>
      <c r="G37" s="33">
        <f>'Price list REWE '!E34</f>
        <v>2.125</v>
      </c>
      <c r="H37" s="31">
        <f t="shared" si="8"/>
        <v>4.3703297087243936E-2</v>
      </c>
      <c r="J37" s="42">
        <f>'Price list REWE '!H34</f>
        <v>2.4750000000000001</v>
      </c>
      <c r="K37" s="42">
        <f t="shared" si="9"/>
        <v>5.0901487195731177E-2</v>
      </c>
      <c r="M37" s="31">
        <f>'Price list ALDI Süd'!E34</f>
        <v>2</v>
      </c>
      <c r="N37" s="31">
        <f t="shared" si="10"/>
        <v>4.1132514905641349E-2</v>
      </c>
      <c r="P37" s="42">
        <f>'Price list ALDI Süd'!H34</f>
        <v>2.4750000000000001</v>
      </c>
      <c r="Q37" s="42">
        <f t="shared" si="11"/>
        <v>5.0901487195731177E-2</v>
      </c>
    </row>
    <row r="38" spans="1:17" ht="17" x14ac:dyDescent="0.2">
      <c r="B38" s="16" t="s">
        <v>82</v>
      </c>
      <c r="C38" s="340">
        <v>0.10929263540695267</v>
      </c>
      <c r="D38" s="6">
        <f t="shared" si="12"/>
        <v>11.803604623950887</v>
      </c>
      <c r="E38" s="1">
        <f t="shared" si="7"/>
        <v>82.62523236765621</v>
      </c>
      <c r="G38" s="33">
        <f>'Price list REWE '!E35</f>
        <v>3.98</v>
      </c>
      <c r="H38" s="31">
        <f t="shared" si="8"/>
        <v>4.6978346403324531E-2</v>
      </c>
      <c r="J38" s="42">
        <f>'Price list REWE '!H35</f>
        <v>6.99</v>
      </c>
      <c r="K38" s="42">
        <f t="shared" si="9"/>
        <v>8.2507196321416704E-2</v>
      </c>
      <c r="M38" s="31">
        <f>'Price list ALDI Süd'!E35</f>
        <v>3.79</v>
      </c>
      <c r="N38" s="31">
        <f t="shared" si="10"/>
        <v>4.4735661524773866E-2</v>
      </c>
      <c r="P38" s="42">
        <f>'Price list ALDI Süd'!H35</f>
        <v>4.4800000000000004</v>
      </c>
      <c r="Q38" s="42">
        <f t="shared" si="11"/>
        <v>5.2880148715299981E-2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11.803604623950887</v>
      </c>
      <c r="E39" s="1">
        <f t="shared" si="7"/>
        <v>82.62523236765621</v>
      </c>
      <c r="G39" s="76">
        <f>'Price list REWE '!E36</f>
        <v>2.9289940828402368</v>
      </c>
      <c r="H39" s="31">
        <f t="shared" si="8"/>
        <v>3.4572688099737806E-2</v>
      </c>
      <c r="J39" s="42">
        <f>'Price list REWE '!H36</f>
        <v>3.8165680473372783</v>
      </c>
      <c r="K39" s="42">
        <f t="shared" si="9"/>
        <v>4.5049260251173506E-2</v>
      </c>
      <c r="M39" s="31">
        <f>'Price list ALDI Süd'!E36</f>
        <v>2.3372781065088759</v>
      </c>
      <c r="N39" s="31">
        <f t="shared" si="10"/>
        <v>2.7588306665447343E-2</v>
      </c>
      <c r="P39" s="42">
        <f>'Price list ALDI Süd'!H36</f>
        <v>3.8165680473372783</v>
      </c>
      <c r="Q39" s="42">
        <f t="shared" si="11"/>
        <v>4.5049260251173506E-2</v>
      </c>
    </row>
    <row r="40" spans="1:17" x14ac:dyDescent="0.2">
      <c r="A40" s="9">
        <v>6</v>
      </c>
      <c r="C40" s="340"/>
      <c r="D40" s="6"/>
      <c r="G40" s="35"/>
      <c r="H40" s="31"/>
      <c r="J40" s="42"/>
      <c r="K40" s="42"/>
      <c r="M40" s="31"/>
      <c r="N40" s="31"/>
      <c r="P40" s="42"/>
      <c r="Q40" s="42"/>
    </row>
    <row r="41" spans="1:17" s="4" customFormat="1" ht="17" x14ac:dyDescent="0.2">
      <c r="A41" s="12"/>
      <c r="B41" s="186" t="s">
        <v>88</v>
      </c>
      <c r="C41" s="341"/>
      <c r="D41" s="29">
        <f>100*C4</f>
        <v>108</v>
      </c>
      <c r="F41" s="4">
        <f>25*C4</f>
        <v>27</v>
      </c>
      <c r="G41" s="12"/>
    </row>
    <row r="42" spans="1:17" ht="17" x14ac:dyDescent="0.2">
      <c r="B42" s="16" t="s">
        <v>89</v>
      </c>
      <c r="C42" s="340">
        <v>0.24393305975418372</v>
      </c>
      <c r="D42" s="1">
        <f>C42*$D$41</f>
        <v>26.344770453451844</v>
      </c>
      <c r="E42" s="1">
        <f>D42*7</f>
        <v>184.41339317416291</v>
      </c>
      <c r="G42" s="33">
        <f>'Price list REWE '!E39</f>
        <v>1.49</v>
      </c>
      <c r="H42" s="31">
        <f>G42/1000*D42</f>
        <v>3.9253707975643246E-2</v>
      </c>
      <c r="J42" s="42">
        <f>'Price list REWE '!H39</f>
        <v>1.49</v>
      </c>
      <c r="K42" s="42">
        <f>J42/1000*D42</f>
        <v>3.9253707975643246E-2</v>
      </c>
      <c r="M42" s="31">
        <f>'Price list ALDI Süd'!E39</f>
        <v>1.49</v>
      </c>
      <c r="N42" s="31">
        <f>M42/1000*D42</f>
        <v>3.9253707975643246E-2</v>
      </c>
      <c r="P42" s="42">
        <f>'Price list ALDI Süd'!H39</f>
        <v>1.49</v>
      </c>
      <c r="Q42" s="42">
        <f>P42/1000*D42</f>
        <v>3.9253707975643246E-2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11.48073074306537</v>
      </c>
      <c r="E43" s="1">
        <f>D43*7</f>
        <v>80.365115201457598</v>
      </c>
      <c r="G43" s="31">
        <f>'Price list REWE '!E40</f>
        <v>1.99</v>
      </c>
      <c r="H43" s="31">
        <f>G43/1000*D43</f>
        <v>2.2846654178700087E-2</v>
      </c>
      <c r="J43" s="42">
        <f>'Price list REWE '!H40</f>
        <v>7.3</v>
      </c>
      <c r="K43" s="42">
        <f>J43/1000*D43</f>
        <v>8.3809334424377199E-2</v>
      </c>
      <c r="M43" s="31">
        <f>'Price list ALDI Süd'!E40</f>
        <v>1.99</v>
      </c>
      <c r="N43" s="31">
        <f>M43/1000*D43</f>
        <v>2.2846654178700087E-2</v>
      </c>
      <c r="P43" s="42">
        <f>'Price list ALDI Süd'!H40</f>
        <v>3.32</v>
      </c>
      <c r="Q43" s="42">
        <f>P43/1000*D43</f>
        <v>3.8116026066977032E-2</v>
      </c>
    </row>
    <row r="44" spans="1:17" ht="17" x14ac:dyDescent="0.2">
      <c r="B44" s="16" t="s">
        <v>94</v>
      </c>
      <c r="C44" s="87">
        <v>0.46774770023805184</v>
      </c>
      <c r="D44" s="1">
        <f t="shared" si="13"/>
        <v>50.516751625709603</v>
      </c>
      <c r="E44" s="1">
        <f>D44*7</f>
        <v>353.6172613799672</v>
      </c>
      <c r="G44" s="33">
        <f>'Price list REWE '!E41</f>
        <v>1.79</v>
      </c>
      <c r="H44" s="31">
        <f>G44/1000*D44</f>
        <v>9.0424985410020198E-2</v>
      </c>
      <c r="J44" s="42">
        <f>'Price list REWE '!H41</f>
        <v>3.05</v>
      </c>
      <c r="K44" s="42">
        <f>J44/1000*D44</f>
        <v>0.15407609245841428</v>
      </c>
      <c r="M44" s="31">
        <f>'Price list ALDI Süd'!E41</f>
        <v>1.99</v>
      </c>
      <c r="N44" s="31">
        <f>M44/1000*D44</f>
        <v>0.10052833573516211</v>
      </c>
      <c r="P44" s="42">
        <f>'Price list ALDI Süd'!H41</f>
        <v>1.99</v>
      </c>
      <c r="Q44" s="42">
        <f>P44/1000*D44</f>
        <v>0.10052833573516211</v>
      </c>
    </row>
    <row r="45" spans="1:17" ht="17" x14ac:dyDescent="0.2">
      <c r="B45" s="16" t="s">
        <v>398</v>
      </c>
      <c r="C45" s="87">
        <v>0.10260798307610458</v>
      </c>
      <c r="D45" s="1">
        <f t="shared" si="13"/>
        <v>11.081662172219295</v>
      </c>
      <c r="E45" s="1">
        <f>D45*7</f>
        <v>77.57163520553506</v>
      </c>
      <c r="G45" s="33">
        <f>'Price list REWE '!E42</f>
        <v>6.99</v>
      </c>
      <c r="H45" s="31">
        <f>G45/1000*D45</f>
        <v>7.7460818583812874E-2</v>
      </c>
      <c r="J45" s="42">
        <f>'Price list REWE '!H42</f>
        <v>9.9600000000000009</v>
      </c>
      <c r="K45" s="42">
        <f>J45/1000*D45</f>
        <v>0.11037335523530417</v>
      </c>
      <c r="M45" s="31">
        <f>'Price list ALDI Süd'!E42</f>
        <v>4.9800000000000004</v>
      </c>
      <c r="N45" s="31">
        <f>M45/1000*D45</f>
        <v>5.5186677617652086E-2</v>
      </c>
      <c r="P45" s="42">
        <f>'Price list ALDI Süd'!H42</f>
        <v>7.16</v>
      </c>
      <c r="Q45" s="42">
        <f>P45/1000*D45</f>
        <v>7.9344701153090155E-2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8.5760850055538995</v>
      </c>
      <c r="E46" s="1">
        <f>D46*7</f>
        <v>60.032595038877297</v>
      </c>
      <c r="G46" s="33">
        <f>'Price list REWE '!E43</f>
        <v>10</v>
      </c>
      <c r="H46" s="31">
        <f>G46/1000*D46</f>
        <v>8.5760850055539004E-2</v>
      </c>
      <c r="J46" s="42">
        <f>'Price list REWE '!H43</f>
        <v>10</v>
      </c>
      <c r="K46" s="42">
        <f>J46/1000*D46</f>
        <v>8.5760850055539004E-2</v>
      </c>
      <c r="M46" s="31">
        <f>'Price list ALDI Süd'!E43</f>
        <v>9.9</v>
      </c>
      <c r="N46" s="31">
        <f>M46/1000*D46</f>
        <v>8.4903241554983619E-2</v>
      </c>
      <c r="P46" s="42">
        <f>'Price list ALDI Süd'!H43</f>
        <v>9.9</v>
      </c>
      <c r="Q46" s="42">
        <f>P46/1000*D46</f>
        <v>8.4903241554983619E-2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216</v>
      </c>
      <c r="E48" s="4">
        <f>D48*$E$10</f>
        <v>1512</v>
      </c>
      <c r="F48" s="4">
        <f>126*C4</f>
        <v>136.08000000000001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97.126615158883382</v>
      </c>
      <c r="E49" s="1">
        <f t="shared" ref="E49:E58" si="14">D49*$E$10</f>
        <v>679.88630611218366</v>
      </c>
      <c r="G49" s="58">
        <f>'Price list REWE '!E46</f>
        <v>1.19</v>
      </c>
      <c r="H49" s="31">
        <f t="shared" ref="H49:H58" si="15">G49/1000*D49</f>
        <v>0.11558067203907121</v>
      </c>
      <c r="J49" s="42">
        <f>'Price list REWE '!H46</f>
        <v>2.99</v>
      </c>
      <c r="K49" s="42">
        <f t="shared" ref="K49:K58" si="16">J49/1000*D49</f>
        <v>0.29040857932506131</v>
      </c>
      <c r="M49" s="31">
        <f>'Price list ALDI Süd'!E46</f>
        <v>0.94499999999999995</v>
      </c>
      <c r="N49" s="31">
        <f t="shared" ref="N49:N58" si="17">M49/1000*D49</f>
        <v>9.1784651325144795E-2</v>
      </c>
      <c r="P49" s="42">
        <f>'Price list ALDI Süd'!H46</f>
        <v>1.92</v>
      </c>
      <c r="Q49" s="42">
        <f t="shared" ref="Q49:Q58" si="18">P49/1000*D49</f>
        <v>0.18648310110505609</v>
      </c>
    </row>
    <row r="50" spans="1:17" ht="17" x14ac:dyDescent="0.2">
      <c r="B50" s="26" t="s">
        <v>106</v>
      </c>
      <c r="C50" s="342">
        <v>4.5787970295011769E-2</v>
      </c>
      <c r="D50" s="1">
        <f t="shared" ref="D50:D58" si="19">C50*$D$48</f>
        <v>9.8902015837225417</v>
      </c>
      <c r="E50" s="1">
        <f t="shared" si="14"/>
        <v>69.23141108605779</v>
      </c>
      <c r="G50" s="58">
        <f>'Price list REWE '!E47</f>
        <v>1.79</v>
      </c>
      <c r="H50" s="31">
        <f t="shared" si="15"/>
        <v>1.7703460834863349E-2</v>
      </c>
      <c r="J50" s="42">
        <f>'Price list REWE '!H47</f>
        <v>3.65</v>
      </c>
      <c r="K50" s="42">
        <f t="shared" si="16"/>
        <v>3.6099235780587276E-2</v>
      </c>
      <c r="M50" s="31">
        <f>'Price list ALDI Süd'!E47</f>
        <v>1.79</v>
      </c>
      <c r="N50" s="31">
        <f t="shared" si="17"/>
        <v>1.7703460834863349E-2</v>
      </c>
      <c r="P50" s="42">
        <f>'Price list ALDI Süd'!H47</f>
        <v>3.65</v>
      </c>
      <c r="Q50" s="42">
        <f t="shared" si="18"/>
        <v>3.6099235780587276E-2</v>
      </c>
    </row>
    <row r="51" spans="1:17" ht="17" x14ac:dyDescent="0.2">
      <c r="B51" s="26" t="s">
        <v>109</v>
      </c>
      <c r="C51" s="342">
        <v>2.019481503339627E-2</v>
      </c>
      <c r="D51" s="1">
        <f t="shared" si="19"/>
        <v>4.3620800472135945</v>
      </c>
      <c r="E51" s="1">
        <f t="shared" si="14"/>
        <v>30.534560330495161</v>
      </c>
      <c r="G51" s="58">
        <f>'Price list REWE '!E48</f>
        <v>4.99</v>
      </c>
      <c r="H51" s="31">
        <f t="shared" si="15"/>
        <v>2.1766779435595841E-2</v>
      </c>
      <c r="J51" s="42">
        <f>'Price list REWE '!H48</f>
        <v>4.99</v>
      </c>
      <c r="K51" s="42">
        <f t="shared" si="16"/>
        <v>2.1766779435595841E-2</v>
      </c>
      <c r="M51" s="31">
        <f>'Price list ALDI Süd'!E48</f>
        <v>3.98</v>
      </c>
      <c r="N51" s="31">
        <f t="shared" si="17"/>
        <v>1.7361078587910108E-2</v>
      </c>
      <c r="P51" s="42">
        <f>'Price list ALDI Süd'!H48</f>
        <v>3.98</v>
      </c>
      <c r="Q51" s="42">
        <f t="shared" si="18"/>
        <v>1.7361078587910108E-2</v>
      </c>
    </row>
    <row r="52" spans="1:17" ht="17" x14ac:dyDescent="0.2">
      <c r="B52" s="26" t="s">
        <v>111</v>
      </c>
      <c r="C52" s="342">
        <v>2.0560497203855613E-2</v>
      </c>
      <c r="D52" s="1">
        <f t="shared" si="19"/>
        <v>4.4410673960328122</v>
      </c>
      <c r="E52" s="1">
        <f t="shared" si="14"/>
        <v>31.087471772229684</v>
      </c>
      <c r="G52" s="58">
        <f>'Price list REWE '!E49</f>
        <v>7.98</v>
      </c>
      <c r="H52" s="31">
        <f t="shared" si="15"/>
        <v>3.5439717820341846E-2</v>
      </c>
      <c r="J52" s="42">
        <f>'Price list REWE '!H49</f>
        <v>10.63</v>
      </c>
      <c r="K52" s="42">
        <f t="shared" si="16"/>
        <v>4.7208546419828794E-2</v>
      </c>
      <c r="M52" s="31">
        <f>'Price list ALDI Süd'!E49</f>
        <v>7.98</v>
      </c>
      <c r="N52" s="31">
        <f t="shared" si="17"/>
        <v>3.5439717820341846E-2</v>
      </c>
      <c r="P52" s="42">
        <f>'Price list ALDI Süd'!H49</f>
        <v>9.9700000000000006</v>
      </c>
      <c r="Q52" s="42">
        <f t="shared" si="18"/>
        <v>4.4277441938447147E-2</v>
      </c>
    </row>
    <row r="53" spans="1:17" ht="17" x14ac:dyDescent="0.2">
      <c r="B53" s="26" t="s">
        <v>114</v>
      </c>
      <c r="C53" s="342">
        <v>1.772181875645604E-2</v>
      </c>
      <c r="D53" s="1">
        <f t="shared" si="19"/>
        <v>3.8279128513945047</v>
      </c>
      <c r="E53" s="1">
        <f t="shared" si="14"/>
        <v>26.795389959761533</v>
      </c>
      <c r="G53" s="58">
        <f>'Price list REWE '!E50</f>
        <v>5.98</v>
      </c>
      <c r="H53" s="31">
        <f t="shared" si="15"/>
        <v>2.2890918851339138E-2</v>
      </c>
      <c r="J53" s="42">
        <f>'Price list REWE '!H50</f>
        <v>10.63</v>
      </c>
      <c r="K53" s="42">
        <f t="shared" si="16"/>
        <v>4.0690713610323587E-2</v>
      </c>
      <c r="M53" s="31">
        <f>'Price list ALDI Süd'!E50</f>
        <v>5.98</v>
      </c>
      <c r="N53" s="31">
        <f t="shared" si="17"/>
        <v>2.2890918851339138E-2</v>
      </c>
      <c r="P53" s="42">
        <f>'Price list ALDI Süd'!H50</f>
        <v>9.9700000000000006</v>
      </c>
      <c r="Q53" s="42">
        <f t="shared" si="18"/>
        <v>3.8164291128403215E-2</v>
      </c>
    </row>
    <row r="54" spans="1:17" ht="17" x14ac:dyDescent="0.2">
      <c r="B54" s="26" t="s">
        <v>117</v>
      </c>
      <c r="C54" s="342">
        <v>7.018785236884495E-2</v>
      </c>
      <c r="D54" s="1">
        <f t="shared" si="19"/>
        <v>15.160576111670508</v>
      </c>
      <c r="E54" s="1">
        <f t="shared" si="14"/>
        <v>106.12403278169356</v>
      </c>
      <c r="G54" s="58">
        <f>'Price list REWE '!E51</f>
        <v>5.58</v>
      </c>
      <c r="H54" s="31">
        <f t="shared" si="15"/>
        <v>8.4596014703121433E-2</v>
      </c>
      <c r="J54" s="42">
        <f>'Price list REWE '!H51</f>
        <v>5.58</v>
      </c>
      <c r="K54" s="42">
        <f t="shared" si="16"/>
        <v>8.4596014703121433E-2</v>
      </c>
      <c r="M54" s="31">
        <f>'Price list ALDI Süd'!E51</f>
        <v>3.99</v>
      </c>
      <c r="N54" s="31">
        <f t="shared" si="17"/>
        <v>6.0490698685565336E-2</v>
      </c>
      <c r="P54" s="42">
        <f>'Price list ALDI Süd'!H51</f>
        <v>9.9700000000000006</v>
      </c>
      <c r="Q54" s="42">
        <f t="shared" si="18"/>
        <v>0.15115094383335498</v>
      </c>
    </row>
    <row r="55" spans="1:17" ht="17" x14ac:dyDescent="0.2">
      <c r="B55" s="26" t="s">
        <v>119</v>
      </c>
      <c r="C55" s="342">
        <v>9.5944736748873077E-2</v>
      </c>
      <c r="D55" s="1">
        <f t="shared" si="19"/>
        <v>20.724063137756584</v>
      </c>
      <c r="E55" s="1">
        <f t="shared" si="14"/>
        <v>145.06844196429608</v>
      </c>
      <c r="G55" s="58">
        <f>'Price list REWE '!E52</f>
        <v>3.58</v>
      </c>
      <c r="H55" s="31">
        <f t="shared" si="15"/>
        <v>7.4192146033168579E-2</v>
      </c>
      <c r="J55" s="42">
        <f>'Price list REWE '!H52</f>
        <v>3.58</v>
      </c>
      <c r="K55" s="42">
        <f t="shared" si="16"/>
        <v>7.4192146033168579E-2</v>
      </c>
      <c r="M55" s="31">
        <f>'Price list ALDI Süd'!E52</f>
        <v>3.38</v>
      </c>
      <c r="N55" s="31">
        <f t="shared" si="17"/>
        <v>7.0047333405617251E-2</v>
      </c>
      <c r="P55" s="42">
        <f>'Price list ALDI Süd'!H52</f>
        <v>3.38</v>
      </c>
      <c r="Q55" s="42">
        <f t="shared" si="18"/>
        <v>7.0047333405617251E-2</v>
      </c>
    </row>
    <row r="56" spans="1:17" ht="17" x14ac:dyDescent="0.2">
      <c r="B56" s="26" t="s">
        <v>121</v>
      </c>
      <c r="C56" s="342">
        <v>0.21388130862220195</v>
      </c>
      <c r="D56" s="1">
        <f t="shared" si="19"/>
        <v>46.198362662395624</v>
      </c>
      <c r="E56" s="1">
        <f t="shared" si="14"/>
        <v>323.38853863676934</v>
      </c>
      <c r="G56" s="58">
        <f>'Price list REWE '!E53</f>
        <v>1.29</v>
      </c>
      <c r="H56" s="31">
        <f t="shared" si="15"/>
        <v>5.9595887834490359E-2</v>
      </c>
      <c r="J56" s="42">
        <f>'Price list REWE '!H53</f>
        <v>1.99</v>
      </c>
      <c r="K56" s="42">
        <f t="shared" si="16"/>
        <v>9.1934741698167288E-2</v>
      </c>
      <c r="M56" s="31">
        <f>'Price list ALDI Süd'!E53</f>
        <v>1.29</v>
      </c>
      <c r="N56" s="31">
        <f t="shared" si="17"/>
        <v>5.9595887834490359E-2</v>
      </c>
      <c r="P56" s="42">
        <f>'Price list ALDI Süd'!H53</f>
        <v>1.99</v>
      </c>
      <c r="Q56" s="42">
        <f t="shared" si="18"/>
        <v>9.1934741698167288E-2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2.5284698177469704</v>
      </c>
      <c r="E57" s="1">
        <f t="shared" si="14"/>
        <v>17.699288724228794</v>
      </c>
      <c r="G57" s="31">
        <f>'Price list REWE '!E54</f>
        <v>5.98</v>
      </c>
      <c r="H57" s="31">
        <f t="shared" si="15"/>
        <v>1.5120249510126884E-2</v>
      </c>
      <c r="J57" s="42">
        <f>'Price list REWE '!H54</f>
        <v>5.98</v>
      </c>
      <c r="K57" s="42">
        <f t="shared" si="16"/>
        <v>1.5120249510126884E-2</v>
      </c>
      <c r="M57" s="31">
        <f>'Price list ALDI Süd'!E54</f>
        <v>3.98</v>
      </c>
      <c r="N57" s="31">
        <f t="shared" si="17"/>
        <v>1.0063309874632942E-2</v>
      </c>
      <c r="P57" s="42">
        <f>'Price list ALDI Süd'!H54</f>
        <v>3.98</v>
      </c>
      <c r="Q57" s="42">
        <f t="shared" si="18"/>
        <v>1.0063309874632942E-2</v>
      </c>
    </row>
    <row r="58" spans="1:17" ht="17" x14ac:dyDescent="0.2">
      <c r="B58" s="26" t="s">
        <v>126</v>
      </c>
      <c r="C58" s="87">
        <v>5.4354866820293855E-2</v>
      </c>
      <c r="D58" s="1">
        <f t="shared" si="19"/>
        <v>11.740651233183472</v>
      </c>
      <c r="E58" s="1">
        <f t="shared" si="14"/>
        <v>82.184558632284308</v>
      </c>
      <c r="G58" s="31">
        <f>'Price list REWE '!E55</f>
        <v>4.9800000000000004</v>
      </c>
      <c r="H58" s="31">
        <f t="shared" si="15"/>
        <v>5.8468443141253691E-2</v>
      </c>
      <c r="J58" s="42">
        <f>'Price list REWE '!H55</f>
        <v>4.9800000000000004</v>
      </c>
      <c r="K58" s="42">
        <f t="shared" si="16"/>
        <v>5.8468443141253691E-2</v>
      </c>
      <c r="M58" s="31">
        <f>'Price list ALDI Süd'!E55</f>
        <v>3.98</v>
      </c>
      <c r="N58" s="31">
        <f t="shared" si="17"/>
        <v>4.6727791908070221E-2</v>
      </c>
      <c r="P58" s="42">
        <f>'Price list ALDI Süd'!H55</f>
        <v>3.98</v>
      </c>
      <c r="Q58" s="42">
        <f t="shared" si="18"/>
        <v>4.6727791908070221E-2</v>
      </c>
    </row>
    <row r="59" spans="1:17" x14ac:dyDescent="0.2">
      <c r="A59" s="9">
        <v>10</v>
      </c>
      <c r="B59" s="26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270</v>
      </c>
      <c r="E60" s="4">
        <f>D60*$E$10</f>
        <v>1890</v>
      </c>
      <c r="F60" s="4">
        <f>153*C4</f>
        <v>165.24</v>
      </c>
    </row>
    <row r="61" spans="1:17" ht="17" x14ac:dyDescent="0.2">
      <c r="B61" s="1" t="s">
        <v>129</v>
      </c>
      <c r="D61" s="1">
        <f>100*C4</f>
        <v>108</v>
      </c>
      <c r="E61" s="1">
        <f t="shared" ref="E61:E69" si="20">D61*$E$10</f>
        <v>756</v>
      </c>
      <c r="G61" s="31">
        <f>'Price list REWE '!E58</f>
        <v>1.05</v>
      </c>
      <c r="H61" s="31">
        <f t="shared" ref="H61:H69" si="21">G61/1000*D61</f>
        <v>0.11340000000000001</v>
      </c>
      <c r="J61" s="42">
        <f>'Price list REWE '!H58</f>
        <v>1.25</v>
      </c>
      <c r="K61" s="42">
        <f t="shared" ref="K61:K69" si="22">J61/1000*D61</f>
        <v>0.13500000000000001</v>
      </c>
      <c r="M61" s="31">
        <f>'Price list ALDI Süd'!E58</f>
        <v>1.05</v>
      </c>
      <c r="N61" s="31">
        <f t="shared" ref="N61:N69" si="23">M61/1000*D61</f>
        <v>0.11340000000000001</v>
      </c>
      <c r="P61" s="42">
        <f>'Price list ALDI Süd'!H58</f>
        <v>1.25</v>
      </c>
      <c r="Q61" s="42">
        <f t="shared" ref="Q61:Q69" si="24">P61/1000*D61</f>
        <v>0.13500000000000001</v>
      </c>
    </row>
    <row r="62" spans="1:17" ht="17" x14ac:dyDescent="0.2">
      <c r="B62" s="1" t="s">
        <v>132</v>
      </c>
      <c r="D62" s="1">
        <f>80*C4</f>
        <v>86.4</v>
      </c>
      <c r="E62" s="1">
        <f t="shared" si="20"/>
        <v>604.80000000000007</v>
      </c>
      <c r="G62" s="31">
        <f>'Price list REWE '!E59</f>
        <v>1.7</v>
      </c>
      <c r="H62" s="31">
        <f t="shared" si="21"/>
        <v>0.14688000000000001</v>
      </c>
      <c r="J62" s="42">
        <f>'Price list REWE '!H59</f>
        <v>2.38</v>
      </c>
      <c r="K62" s="42">
        <f t="shared" si="22"/>
        <v>0.20563199999999998</v>
      </c>
      <c r="M62" s="31">
        <f>'Price list ALDI Süd'!E59</f>
        <v>1.7</v>
      </c>
      <c r="N62" s="31">
        <f t="shared" si="23"/>
        <v>0.14688000000000001</v>
      </c>
      <c r="P62" s="42">
        <f>'Price list ALDI Süd'!H59</f>
        <v>2.38</v>
      </c>
      <c r="Q62" s="42">
        <f t="shared" si="24"/>
        <v>0.20563199999999998</v>
      </c>
    </row>
    <row r="63" spans="1:17" ht="17" x14ac:dyDescent="0.2">
      <c r="B63" s="1" t="s">
        <v>135</v>
      </c>
      <c r="D63" s="1">
        <f>10*C4</f>
        <v>10.8</v>
      </c>
      <c r="E63" s="1">
        <f t="shared" si="20"/>
        <v>75.600000000000009</v>
      </c>
      <c r="G63" s="31">
        <f>'Price list REWE '!E60</f>
        <v>4.63</v>
      </c>
      <c r="H63" s="31">
        <f t="shared" si="21"/>
        <v>5.0004E-2</v>
      </c>
      <c r="J63" s="42">
        <f>'Price list REWE '!H60</f>
        <v>7.37</v>
      </c>
      <c r="K63" s="42">
        <f t="shared" si="22"/>
        <v>7.9596E-2</v>
      </c>
      <c r="M63" s="31">
        <f>'Price list ALDI Süd'!E60</f>
        <v>4.63</v>
      </c>
      <c r="N63" s="31">
        <f t="shared" si="23"/>
        <v>5.0004E-2</v>
      </c>
      <c r="P63" s="42">
        <f>'Price list ALDI Süd'!H60</f>
        <v>7.37</v>
      </c>
      <c r="Q63" s="42">
        <f t="shared" si="24"/>
        <v>7.9596E-2</v>
      </c>
    </row>
    <row r="64" spans="1:17" ht="17" x14ac:dyDescent="0.2">
      <c r="B64" s="1" t="s">
        <v>138</v>
      </c>
      <c r="D64" s="1">
        <f>10*C4</f>
        <v>10.8</v>
      </c>
      <c r="E64" s="1">
        <f t="shared" si="20"/>
        <v>75.600000000000009</v>
      </c>
      <c r="G64" s="31">
        <f>'Price list REWE '!E61</f>
        <v>2.98</v>
      </c>
      <c r="H64" s="31">
        <f t="shared" si="21"/>
        <v>3.2184000000000004E-2</v>
      </c>
      <c r="J64" s="42">
        <f>'Price list REWE '!H61</f>
        <v>4.2</v>
      </c>
      <c r="K64" s="42">
        <f t="shared" si="22"/>
        <v>4.5360000000000011E-2</v>
      </c>
      <c r="M64" s="31">
        <f>'Price list ALDI Süd'!E61</f>
        <v>2.8</v>
      </c>
      <c r="N64" s="31">
        <f t="shared" si="23"/>
        <v>3.0240000000000003E-2</v>
      </c>
      <c r="P64" s="42">
        <f>'Price list ALDI Süd'!H61</f>
        <v>4.2</v>
      </c>
      <c r="Q64" s="42">
        <f t="shared" si="24"/>
        <v>4.5360000000000011E-2</v>
      </c>
    </row>
    <row r="65" spans="1:17" ht="17" x14ac:dyDescent="0.2">
      <c r="B65" s="1" t="s">
        <v>141</v>
      </c>
      <c r="D65" s="1">
        <f>10*C4</f>
        <v>10.8</v>
      </c>
      <c r="E65" s="1">
        <f t="shared" si="20"/>
        <v>75.600000000000009</v>
      </c>
      <c r="G65" s="31">
        <f>'Price list REWE '!E62</f>
        <v>7.92</v>
      </c>
      <c r="H65" s="31">
        <f t="shared" si="21"/>
        <v>8.5536000000000001E-2</v>
      </c>
      <c r="J65" s="42">
        <f>'Price list REWE '!H62</f>
        <v>10.32</v>
      </c>
      <c r="K65" s="42">
        <f t="shared" si="22"/>
        <v>0.11145600000000001</v>
      </c>
      <c r="M65" s="31">
        <f>'Price list ALDI Süd'!E62</f>
        <v>7.92</v>
      </c>
      <c r="N65" s="31">
        <f t="shared" si="23"/>
        <v>8.5536000000000001E-2</v>
      </c>
      <c r="P65" s="42">
        <f>'Price list ALDI Süd'!H62</f>
        <v>10.32</v>
      </c>
      <c r="Q65" s="42">
        <f t="shared" si="24"/>
        <v>0.11145600000000001</v>
      </c>
    </row>
    <row r="66" spans="1:17" ht="17" x14ac:dyDescent="0.2">
      <c r="B66" s="1" t="s">
        <v>144</v>
      </c>
      <c r="D66" s="1">
        <f>10*C4</f>
        <v>10.8</v>
      </c>
      <c r="E66" s="1">
        <f t="shared" si="20"/>
        <v>75.600000000000009</v>
      </c>
      <c r="G66" s="31">
        <f>'Price list REWE '!E63</f>
        <v>3.45</v>
      </c>
      <c r="H66" s="31">
        <f t="shared" si="21"/>
        <v>3.7260000000000008E-2</v>
      </c>
      <c r="J66" s="42">
        <f>'Price list REWE '!H63</f>
        <v>4.45</v>
      </c>
      <c r="K66" s="42">
        <f t="shared" si="22"/>
        <v>4.8060000000000005E-2</v>
      </c>
      <c r="M66" s="31">
        <f>'Price list ALDI Süd'!E63</f>
        <v>3.45</v>
      </c>
      <c r="N66" s="31">
        <f t="shared" si="23"/>
        <v>3.7260000000000008E-2</v>
      </c>
      <c r="P66" s="42">
        <f>'Price list ALDI Süd'!H63</f>
        <v>4.25</v>
      </c>
      <c r="Q66" s="42">
        <f t="shared" si="24"/>
        <v>4.5900000000000003E-2</v>
      </c>
    </row>
    <row r="67" spans="1:17" ht="20" customHeight="1" x14ac:dyDescent="0.2">
      <c r="B67" s="1" t="s">
        <v>401</v>
      </c>
      <c r="D67" s="1">
        <f>10*C4</f>
        <v>10.8</v>
      </c>
      <c r="E67" s="1">
        <f t="shared" si="20"/>
        <v>75.600000000000009</v>
      </c>
      <c r="G67" s="31">
        <f>'Price list REWE '!E64</f>
        <v>7.48</v>
      </c>
      <c r="H67" s="31">
        <f t="shared" si="21"/>
        <v>8.0784000000000009E-2</v>
      </c>
      <c r="J67" s="42">
        <f>'Price list REWE '!H64</f>
        <v>12.6</v>
      </c>
      <c r="K67" s="42">
        <f t="shared" si="22"/>
        <v>0.13608000000000001</v>
      </c>
      <c r="M67" s="31">
        <f>'Price list ALDI Süd'!E64</f>
        <v>9.9600000000000009</v>
      </c>
      <c r="N67" s="31">
        <f t="shared" si="23"/>
        <v>0.10756800000000001</v>
      </c>
      <c r="P67" s="42">
        <f>'Price list ALDI Süd'!H64</f>
        <v>10.95</v>
      </c>
      <c r="Q67" s="42">
        <f t="shared" si="24"/>
        <v>0.11826</v>
      </c>
    </row>
    <row r="68" spans="1:17" ht="34" x14ac:dyDescent="0.2">
      <c r="B68" s="1" t="s">
        <v>402</v>
      </c>
      <c r="D68" s="1">
        <f>10*C4</f>
        <v>10.8</v>
      </c>
      <c r="E68" s="1">
        <f t="shared" si="20"/>
        <v>75.600000000000009</v>
      </c>
      <c r="G68" s="31">
        <f>'Price list REWE '!E65</f>
        <v>11.56</v>
      </c>
      <c r="H68" s="31">
        <f t="shared" si="21"/>
        <v>0.12484800000000001</v>
      </c>
      <c r="J68" s="42">
        <f>'Price list REWE '!H65</f>
        <v>14.6</v>
      </c>
      <c r="K68" s="42">
        <f t="shared" si="22"/>
        <v>0.15768000000000001</v>
      </c>
      <c r="M68" s="31">
        <f>'Price list ALDI Süd'!E65</f>
        <v>11.56</v>
      </c>
      <c r="N68" s="31">
        <f t="shared" si="23"/>
        <v>0.12484800000000001</v>
      </c>
      <c r="P68" s="42">
        <f>'Price list ALDI Süd'!H65</f>
        <v>14.6</v>
      </c>
      <c r="Q68" s="42">
        <f t="shared" si="24"/>
        <v>0.15768000000000001</v>
      </c>
    </row>
    <row r="69" spans="1:17" ht="17" x14ac:dyDescent="0.2">
      <c r="B69" s="1" t="s">
        <v>403</v>
      </c>
      <c r="D69" s="1">
        <f>10*C4</f>
        <v>10.8</v>
      </c>
      <c r="E69" s="1">
        <f t="shared" si="20"/>
        <v>75.600000000000009</v>
      </c>
      <c r="G69" s="31">
        <f>'Price list REWE '!E66</f>
        <v>9.9499999999999993</v>
      </c>
      <c r="H69" s="31">
        <f t="shared" si="21"/>
        <v>0.10746</v>
      </c>
      <c r="J69" s="42">
        <f>'Price list REWE '!H66</f>
        <v>13.27</v>
      </c>
      <c r="K69" s="42">
        <f t="shared" si="22"/>
        <v>0.143316</v>
      </c>
      <c r="M69" s="31">
        <f>'Price list ALDI Süd'!E66</f>
        <v>9.9499999999999993</v>
      </c>
      <c r="N69" s="31">
        <f t="shared" si="23"/>
        <v>0.10746</v>
      </c>
      <c r="P69" s="42">
        <f>'Price list ALDI Süd'!H66</f>
        <v>13.28</v>
      </c>
      <c r="Q69" s="42">
        <f t="shared" si="24"/>
        <v>0.14342400000000002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3.5*C4</f>
        <v>3.7800000000000002</v>
      </c>
      <c r="E71" s="4">
        <v>24.5</v>
      </c>
      <c r="F71" s="4">
        <f>15*C4</f>
        <v>16.200000000000003</v>
      </c>
    </row>
    <row r="72" spans="1:17" ht="17" x14ac:dyDescent="0.2">
      <c r="B72" s="1" t="s">
        <v>158</v>
      </c>
      <c r="D72" s="1">
        <f>3.5*C4</f>
        <v>3.7800000000000002</v>
      </c>
      <c r="E72" s="1">
        <v>24.5</v>
      </c>
      <c r="G72" s="31">
        <f>'Price list REWE '!E69</f>
        <v>13.96</v>
      </c>
      <c r="H72" s="31">
        <f>G72/1000*D72</f>
        <v>5.2768800000000005E-2</v>
      </c>
      <c r="J72" s="42">
        <f>'Price list REWE '!H69</f>
        <v>15.9</v>
      </c>
      <c r="K72" s="42">
        <f>J72/1000*D72</f>
        <v>6.010200000000001E-2</v>
      </c>
      <c r="M72" s="31">
        <f>'Price list ALDI Süd'!E69</f>
        <v>9.7799999999999994</v>
      </c>
      <c r="N72" s="31">
        <f>M72/1000*D72</f>
        <v>3.6968399999999998E-2</v>
      </c>
      <c r="P72" s="42">
        <f>'Price list ALDI Süd'!H69</f>
        <v>11.98</v>
      </c>
      <c r="Q72" s="42">
        <f>P72/1000*D72</f>
        <v>4.5284400000000009E-2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3.5*C4</f>
        <v>3.7800000000000002</v>
      </c>
      <c r="E74" s="4">
        <v>24.5</v>
      </c>
      <c r="F74" s="4">
        <f>15*C4</f>
        <v>16.200000000000003</v>
      </c>
    </row>
    <row r="75" spans="1:17" ht="17" x14ac:dyDescent="0.2">
      <c r="B75" s="1" t="s">
        <v>162</v>
      </c>
      <c r="D75" s="1">
        <f>3.5*C4</f>
        <v>3.7800000000000002</v>
      </c>
      <c r="E75" s="1">
        <v>24.5</v>
      </c>
      <c r="G75" s="31">
        <f>'Price list REWE '!E72</f>
        <v>8.98</v>
      </c>
      <c r="H75" s="31">
        <f>G75/1000*D75</f>
        <v>3.39444E-2</v>
      </c>
      <c r="J75" s="42">
        <f>'Price list REWE '!H72</f>
        <v>29.9</v>
      </c>
      <c r="K75" s="42">
        <f>J75/1000*D75</f>
        <v>0.11302200000000001</v>
      </c>
      <c r="M75" s="31">
        <f>'Price list ALDI Süd'!E72</f>
        <v>8.98</v>
      </c>
      <c r="N75" s="31">
        <f>M75/1000*D75</f>
        <v>3.39444E-2</v>
      </c>
      <c r="P75" s="42">
        <f>'Price list ALDI Süd'!H72</f>
        <v>17.96</v>
      </c>
      <c r="Q75" s="42">
        <f>P75/1000*D75</f>
        <v>6.7888799999999999E-2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14.5*C4</f>
        <v>15.66</v>
      </c>
      <c r="E77" s="4">
        <v>101.5</v>
      </c>
      <c r="F77" s="4">
        <f>62*C4</f>
        <v>66.960000000000008</v>
      </c>
    </row>
    <row r="78" spans="1:17" ht="17" x14ac:dyDescent="0.2">
      <c r="B78" s="1" t="s">
        <v>166</v>
      </c>
      <c r="D78" s="1">
        <f>14.5*C4</f>
        <v>15.66</v>
      </c>
      <c r="E78" s="1">
        <v>101.5</v>
      </c>
      <c r="G78" s="31">
        <f>'Price list REWE '!E75</f>
        <v>9.98</v>
      </c>
      <c r="H78" s="31">
        <f>G78/1000*D78</f>
        <v>0.15628680000000003</v>
      </c>
      <c r="J78" s="42">
        <f>'Price list REWE '!H75</f>
        <v>34.9</v>
      </c>
      <c r="K78" s="42">
        <f>J78/1000*D78</f>
        <v>0.54653399999999996</v>
      </c>
      <c r="M78" s="31">
        <f>'Price list ALDI Süd'!E75</f>
        <v>9.98</v>
      </c>
      <c r="N78" s="31">
        <f>M78/1000*D78</f>
        <v>0.15628680000000003</v>
      </c>
      <c r="P78" s="42">
        <f>'Price list ALDI Süd'!H75</f>
        <v>24.99</v>
      </c>
      <c r="Q78" s="42">
        <f>P78/1000*D78</f>
        <v>0.39134339999999995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14.040000000000001</v>
      </c>
      <c r="E80" s="4">
        <v>91</v>
      </c>
      <c r="F80" s="4">
        <f>19*C4</f>
        <v>20.520000000000003</v>
      </c>
    </row>
    <row r="81" spans="1:17" ht="17" x14ac:dyDescent="0.2">
      <c r="A81" s="1"/>
      <c r="B81" s="1" t="s">
        <v>170</v>
      </c>
      <c r="D81" s="1">
        <f>13*C4</f>
        <v>14.040000000000001</v>
      </c>
      <c r="E81" s="1">
        <v>91</v>
      </c>
      <c r="G81" s="31">
        <f>'Price list REWE '!E78</f>
        <v>3.98</v>
      </c>
      <c r="H81" s="31">
        <f>G81/1000*D81</f>
        <v>5.5879200000000004E-2</v>
      </c>
      <c r="J81" s="42">
        <f>'Price list REWE '!H78</f>
        <v>7.9666666666666677</v>
      </c>
      <c r="K81" s="42">
        <f>J81/1000*D81</f>
        <v>0.11185200000000001</v>
      </c>
      <c r="M81" s="31">
        <f>'Price list ALDI Süd'!E78</f>
        <v>3.98</v>
      </c>
      <c r="N81" s="31">
        <f>M81/1000*D81</f>
        <v>5.5879200000000004E-2</v>
      </c>
      <c r="P81" s="42">
        <f>'Price list ALDI Süd'!H78</f>
        <v>6.38</v>
      </c>
      <c r="Q81" s="42">
        <f>P81/1000*D81</f>
        <v>8.9575200000000008E-2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14*C4</f>
        <v>15.120000000000001</v>
      </c>
      <c r="E83" s="4">
        <v>98</v>
      </c>
      <c r="F83" s="4">
        <f>40*C4</f>
        <v>43.2</v>
      </c>
    </row>
    <row r="84" spans="1:17" ht="17" x14ac:dyDescent="0.2">
      <c r="B84" s="1" t="s">
        <v>174</v>
      </c>
      <c r="D84" s="1">
        <f>D83/3</f>
        <v>5.04</v>
      </c>
      <c r="E84" s="1">
        <v>32.666666666666671</v>
      </c>
      <c r="G84" s="31">
        <f>'Price list REWE '!E81</f>
        <v>23.96</v>
      </c>
      <c r="H84" s="31">
        <f>G84/1000*D84</f>
        <v>0.12075840000000002</v>
      </c>
      <c r="J84" s="42">
        <f>'Price list REWE '!H81</f>
        <v>31.96</v>
      </c>
      <c r="K84" s="42">
        <f>J84/1000*D84</f>
        <v>0.16107840000000001</v>
      </c>
      <c r="M84" s="31">
        <f>'Price list ALDI Süd'!E81</f>
        <v>23.96</v>
      </c>
      <c r="N84" s="31">
        <f>M84/1000*D84</f>
        <v>0.12075840000000002</v>
      </c>
      <c r="P84" s="42">
        <f>'Price list ALDI Süd'!H81</f>
        <v>31.96</v>
      </c>
      <c r="Q84" s="42">
        <f>P84/1000*D84</f>
        <v>0.16107840000000001</v>
      </c>
    </row>
    <row r="85" spans="1:17" ht="17" x14ac:dyDescent="0.2">
      <c r="B85" s="1" t="s">
        <v>177</v>
      </c>
      <c r="D85" s="1">
        <f>D83/3</f>
        <v>5.04</v>
      </c>
      <c r="E85" s="1">
        <v>32.666666666666671</v>
      </c>
      <c r="G85" s="31">
        <f>'Price list REWE '!E82</f>
        <v>7.49</v>
      </c>
      <c r="H85" s="31">
        <f>G85/1000*D85</f>
        <v>3.7749600000000001E-2</v>
      </c>
      <c r="J85" s="42">
        <f>'Price list REWE '!H82</f>
        <v>7.49</v>
      </c>
      <c r="K85" s="42">
        <f>J85/1000*D85</f>
        <v>3.7749600000000001E-2</v>
      </c>
      <c r="M85" s="31">
        <f>'Price list ALDI Süd'!E82</f>
        <v>7.49</v>
      </c>
      <c r="N85" s="31">
        <f>M85/1000*D85</f>
        <v>3.7749600000000001E-2</v>
      </c>
      <c r="P85" s="42">
        <f>'Price list ALDI Süd'!H82</f>
        <v>7.49</v>
      </c>
      <c r="Q85" s="42">
        <f>P85/1000*D85</f>
        <v>3.7749600000000001E-2</v>
      </c>
    </row>
    <row r="86" spans="1:17" ht="17" x14ac:dyDescent="0.2">
      <c r="B86" s="1" t="s">
        <v>179</v>
      </c>
      <c r="D86" s="1">
        <f>D83/3</f>
        <v>5.04</v>
      </c>
      <c r="E86" s="1">
        <v>32.666666666666671</v>
      </c>
      <c r="G86" s="31">
        <f>'Price list REWE '!E83</f>
        <v>7.6410256410256414</v>
      </c>
      <c r="H86" s="31">
        <f>G86/1000*D86</f>
        <v>3.851076923076923E-2</v>
      </c>
      <c r="J86" s="42">
        <f>'Price list REWE '!H83</f>
        <v>20.5625</v>
      </c>
      <c r="K86" s="42">
        <f>J86/1000*D86</f>
        <v>0.103635</v>
      </c>
      <c r="M86" s="31">
        <f>'Price list ALDI Süd'!E83</f>
        <v>7.6410256410256414</v>
      </c>
      <c r="N86" s="31">
        <f>M86/1000*D86</f>
        <v>3.851076923076923E-2</v>
      </c>
      <c r="P86" s="42">
        <f>'Price list ALDI Süd'!H83</f>
        <v>20.5625</v>
      </c>
      <c r="Q86" s="42">
        <f>P86/1000*D86</f>
        <v>0.103635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E88/7*C4</f>
        <v>61.714285714285722</v>
      </c>
      <c r="E88" s="4">
        <f>350+50</f>
        <v>400</v>
      </c>
      <c r="F88" s="4">
        <f>172*C4</f>
        <v>185.76000000000002</v>
      </c>
    </row>
    <row r="89" spans="1:17" ht="17" x14ac:dyDescent="0.2">
      <c r="B89" s="1" t="s">
        <v>183</v>
      </c>
      <c r="D89" s="1">
        <f t="shared" ref="D89:D94" si="25">$D$88/6</f>
        <v>10.285714285714286</v>
      </c>
      <c r="E89" s="1">
        <f t="shared" ref="E89:E94" si="26">D89*$E$10</f>
        <v>72</v>
      </c>
      <c r="G89" s="31">
        <f>'Price list REWE '!E86</f>
        <v>4.58</v>
      </c>
      <c r="H89" s="31">
        <f t="shared" ref="H89:H94" si="27">G89/1000*D89</f>
        <v>4.710857142857143E-2</v>
      </c>
      <c r="J89" s="42">
        <f>'Price list REWE '!H86</f>
        <v>3.3</v>
      </c>
      <c r="K89" s="42">
        <f t="shared" ref="K89:K94" si="28">J89/1000*D89</f>
        <v>3.3942857142857143E-2</v>
      </c>
      <c r="M89" s="31">
        <f>'Price list ALDI Süd'!E86</f>
        <v>3.98</v>
      </c>
      <c r="N89" s="31">
        <f t="shared" ref="N89:N94" si="29">M89/1000*D89</f>
        <v>4.0937142857142859E-2</v>
      </c>
      <c r="P89" s="42">
        <f>'Price list ALDI Süd'!H86</f>
        <v>3.3</v>
      </c>
      <c r="Q89" s="42">
        <f t="shared" ref="Q89:Q94" si="30">P89/1000*D89</f>
        <v>3.3942857142857143E-2</v>
      </c>
    </row>
    <row r="90" spans="1:17" ht="17" x14ac:dyDescent="0.2">
      <c r="B90" s="1" t="s">
        <v>186</v>
      </c>
      <c r="D90" s="1">
        <f t="shared" si="25"/>
        <v>10.285714285714286</v>
      </c>
      <c r="E90" s="1">
        <f t="shared" si="26"/>
        <v>72</v>
      </c>
      <c r="G90" s="31">
        <f>'Price list REWE '!E87</f>
        <v>2.9749999999999996</v>
      </c>
      <c r="H90" s="31">
        <f t="shared" si="27"/>
        <v>3.0599999999999999E-2</v>
      </c>
      <c r="J90" s="42">
        <f>'Price list REWE '!H87</f>
        <v>3.5833333333333335</v>
      </c>
      <c r="K90" s="42">
        <f t="shared" si="28"/>
        <v>3.6857142857142859E-2</v>
      </c>
      <c r="M90" s="31">
        <f>'Price list ALDI Süd'!E87</f>
        <v>2.9749999999999996</v>
      </c>
      <c r="N90" s="31">
        <f t="shared" si="29"/>
        <v>3.0599999999999999E-2</v>
      </c>
      <c r="P90" s="42">
        <f>'Price list ALDI Süd'!H87</f>
        <v>3.5833333333333335</v>
      </c>
      <c r="Q90" s="42">
        <f t="shared" si="30"/>
        <v>3.6857142857142859E-2</v>
      </c>
    </row>
    <row r="91" spans="1:17" ht="17" x14ac:dyDescent="0.2">
      <c r="B91" s="1" t="s">
        <v>189</v>
      </c>
      <c r="D91" s="1">
        <f t="shared" si="25"/>
        <v>10.285714285714286</v>
      </c>
      <c r="E91" s="1">
        <f t="shared" si="26"/>
        <v>72</v>
      </c>
      <c r="G91" s="31">
        <f>'Price list REWE '!E88</f>
        <v>1.7249999999999999</v>
      </c>
      <c r="H91" s="31">
        <f t="shared" si="27"/>
        <v>1.7742857142857144E-2</v>
      </c>
      <c r="J91" s="42">
        <f>'Price list REWE '!H88</f>
        <v>2.75</v>
      </c>
      <c r="K91" s="42">
        <f t="shared" si="28"/>
        <v>2.8285714285714286E-2</v>
      </c>
      <c r="M91" s="31">
        <f>'Price list ALDI Süd'!E88</f>
        <v>1.7249999999999999</v>
      </c>
      <c r="N91" s="31">
        <f t="shared" si="29"/>
        <v>1.7742857142857144E-2</v>
      </c>
      <c r="P91" s="42">
        <f>'Price list ALDI Süd'!H88</f>
        <v>2.75</v>
      </c>
      <c r="Q91" s="42">
        <f t="shared" si="30"/>
        <v>2.8285714285714286E-2</v>
      </c>
    </row>
    <row r="92" spans="1:17" ht="17" x14ac:dyDescent="0.2">
      <c r="B92" s="1" t="s">
        <v>192</v>
      </c>
      <c r="D92" s="1">
        <f t="shared" si="25"/>
        <v>10.285714285714286</v>
      </c>
      <c r="E92" s="1">
        <f t="shared" si="26"/>
        <v>72</v>
      </c>
      <c r="G92" s="31">
        <f>'Price list REWE '!E89</f>
        <v>1.99</v>
      </c>
      <c r="H92" s="31">
        <f t="shared" si="27"/>
        <v>2.046857142857143E-2</v>
      </c>
      <c r="J92" s="42">
        <f>'Price list REWE '!H89</f>
        <v>3.98</v>
      </c>
      <c r="K92" s="42">
        <f t="shared" si="28"/>
        <v>4.0937142857142859E-2</v>
      </c>
      <c r="M92" s="31">
        <f>'Price list ALDI Süd'!E89</f>
        <v>1.99</v>
      </c>
      <c r="N92" s="31">
        <f t="shared" si="29"/>
        <v>2.046857142857143E-2</v>
      </c>
      <c r="P92" s="42">
        <f>'Price list ALDI Süd'!H89</f>
        <v>3.32</v>
      </c>
      <c r="Q92" s="42">
        <f t="shared" si="30"/>
        <v>3.4148571428571431E-2</v>
      </c>
    </row>
    <row r="93" spans="1:17" ht="17" x14ac:dyDescent="0.2">
      <c r="B93" s="1" t="s">
        <v>622</v>
      </c>
      <c r="D93" s="1">
        <f t="shared" si="25"/>
        <v>10.285714285714286</v>
      </c>
      <c r="E93" s="1">
        <f t="shared" si="26"/>
        <v>72</v>
      </c>
      <c r="G93" s="31">
        <f>'Price list REWE '!E90</f>
        <v>1.7249999999999999</v>
      </c>
      <c r="H93" s="31">
        <f t="shared" si="27"/>
        <v>1.7742857142857144E-2</v>
      </c>
      <c r="J93" s="42">
        <f>'Price list REWE '!H90</f>
        <v>3</v>
      </c>
      <c r="K93" s="42">
        <f t="shared" si="28"/>
        <v>3.0857142857142861E-2</v>
      </c>
      <c r="M93" s="31">
        <f>'Price list ALDI Süd'!E90</f>
        <v>1.7249999999999999</v>
      </c>
      <c r="N93" s="31">
        <f t="shared" si="29"/>
        <v>1.7742857142857144E-2</v>
      </c>
      <c r="P93" s="42">
        <f>'Price list ALDI Süd'!H90</f>
        <v>2.75</v>
      </c>
      <c r="Q93" s="42">
        <f t="shared" si="30"/>
        <v>2.8285714285714286E-2</v>
      </c>
    </row>
    <row r="94" spans="1:17" ht="17" x14ac:dyDescent="0.2">
      <c r="A94" s="1"/>
      <c r="B94" s="1" t="s">
        <v>623</v>
      </c>
      <c r="D94" s="1">
        <f t="shared" si="25"/>
        <v>10.285714285714286</v>
      </c>
      <c r="E94" s="1">
        <f t="shared" si="26"/>
        <v>72</v>
      </c>
      <c r="G94" s="31">
        <f>'Price list REWE '!E91</f>
        <v>2.0441176470588234</v>
      </c>
      <c r="H94" s="31">
        <f t="shared" si="27"/>
        <v>2.1025210084033612E-2</v>
      </c>
      <c r="J94" s="42">
        <f>'Price list REWE '!H91</f>
        <v>2.0441176470588234</v>
      </c>
      <c r="K94" s="42">
        <f t="shared" si="28"/>
        <v>2.1025210084033612E-2</v>
      </c>
      <c r="M94" s="31">
        <f>'Price list ALDI Süd'!E91</f>
        <v>3.3559322033898304</v>
      </c>
      <c r="N94" s="31">
        <f t="shared" si="29"/>
        <v>3.4518159806295398E-2</v>
      </c>
      <c r="P94" s="42">
        <f>'Price list ALDI Süd'!H91</f>
        <v>3.3559322033898304</v>
      </c>
      <c r="Q94" s="42">
        <f t="shared" si="30"/>
        <v>3.4518159806295398E-2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E96/7*C4</f>
        <v>36.25714285714286</v>
      </c>
      <c r="E96" s="4">
        <f>175+60</f>
        <v>235</v>
      </c>
      <c r="F96" s="4">
        <f>112*C4</f>
        <v>120.96000000000001</v>
      </c>
    </row>
    <row r="97" spans="1:17" ht="17" x14ac:dyDescent="0.2">
      <c r="B97" s="1" t="s">
        <v>201</v>
      </c>
      <c r="D97" s="1">
        <v>16.785714285714285</v>
      </c>
      <c r="E97" s="1">
        <v>117.5</v>
      </c>
      <c r="G97" s="31">
        <f>'Price list REWE '!E94</f>
        <v>5.48</v>
      </c>
      <c r="H97" s="31">
        <f>G97/1000*D97</f>
        <v>9.1985714285714282E-2</v>
      </c>
      <c r="J97" s="42">
        <f>'Price list REWE '!H94</f>
        <v>5.48</v>
      </c>
      <c r="K97" s="42">
        <f>J97/1000*D97</f>
        <v>9.1985714285714282E-2</v>
      </c>
      <c r="M97" s="31">
        <f>'Price list ALDI Süd'!E94</f>
        <v>5.48</v>
      </c>
      <c r="N97" s="31">
        <f>M97/1000*D97</f>
        <v>9.1985714285714282E-2</v>
      </c>
      <c r="P97" s="42">
        <f>'Price list ALDI Süd'!H94</f>
        <v>5.48</v>
      </c>
      <c r="Q97" s="42">
        <f>P97/1000*D97</f>
        <v>9.1985714285714282E-2</v>
      </c>
    </row>
    <row r="98" spans="1:17" ht="17" x14ac:dyDescent="0.2">
      <c r="B98" s="1" t="s">
        <v>203</v>
      </c>
      <c r="D98" s="1">
        <v>16.785714285714285</v>
      </c>
      <c r="E98" s="1">
        <v>117.5</v>
      </c>
      <c r="G98" s="31">
        <f>'Price list REWE '!E95</f>
        <v>6.26</v>
      </c>
      <c r="H98" s="31">
        <f>G98/1000*D98</f>
        <v>0.10507857142857142</v>
      </c>
      <c r="J98" s="42">
        <f>'Price list REWE '!H95</f>
        <v>6.26</v>
      </c>
      <c r="K98" s="42">
        <f>J98/1000*D98</f>
        <v>0.10507857142857142</v>
      </c>
      <c r="M98" s="31">
        <f>'Price list ALDI Süd'!E95</f>
        <v>6.26</v>
      </c>
      <c r="N98" s="31">
        <f>M98/1000*D98</f>
        <v>0.10507857142857142</v>
      </c>
      <c r="P98" s="42">
        <f>'Price list ALDI Süd'!H95</f>
        <v>6.26</v>
      </c>
      <c r="Q98" s="42">
        <f>P98/1000*D98</f>
        <v>0.10507857142857142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153.36000000000001</v>
      </c>
    </row>
    <row r="102" spans="1:17" ht="17" x14ac:dyDescent="0.2">
      <c r="B102" s="1" t="s">
        <v>207</v>
      </c>
      <c r="D102" s="1">
        <f>25*C4</f>
        <v>27</v>
      </c>
      <c r="E102" s="1">
        <f>D102*E10</f>
        <v>189</v>
      </c>
      <c r="G102" s="31">
        <f>'Price list REWE '!E99</f>
        <v>4.9800000000000004</v>
      </c>
      <c r="H102" s="31">
        <f>G102/1000*D102</f>
        <v>0.13446</v>
      </c>
      <c r="J102" s="42">
        <f>'Price list REWE '!H99</f>
        <v>4.9800000000000004</v>
      </c>
      <c r="K102" s="42">
        <f>J102/1000*D102</f>
        <v>0.13446</v>
      </c>
      <c r="M102" s="31">
        <f>'Price list ALDI Süd'!E99</f>
        <v>4.9800000000000004</v>
      </c>
      <c r="N102" s="31">
        <f>M102/1000*D102</f>
        <v>0.13446</v>
      </c>
      <c r="P102" s="42">
        <f>'Price list ALDI Süd'!H99</f>
        <v>4.9800000000000004</v>
      </c>
      <c r="Q102" s="42">
        <f>P102/1000*D102</f>
        <v>0.13446</v>
      </c>
    </row>
    <row r="103" spans="1:17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27</v>
      </c>
      <c r="E104" s="8">
        <f>D104*7</f>
        <v>189</v>
      </c>
      <c r="F104" s="8">
        <f>149*C4</f>
        <v>160.92000000000002</v>
      </c>
    </row>
    <row r="105" spans="1:17" ht="17" x14ac:dyDescent="0.2">
      <c r="B105" s="1" t="s">
        <v>210</v>
      </c>
      <c r="D105" s="7">
        <f>D104/2</f>
        <v>13.5</v>
      </c>
      <c r="E105" s="1">
        <f>D105*7</f>
        <v>94.5</v>
      </c>
      <c r="G105" s="31">
        <f>'Price list REWE '!E102</f>
        <v>11.45</v>
      </c>
      <c r="H105" s="31">
        <f>G105/1000*D105</f>
        <v>0.15457499999999999</v>
      </c>
      <c r="J105" s="42">
        <f>'Price list REWE '!H102</f>
        <v>17.95</v>
      </c>
      <c r="K105" s="42">
        <f>J105/1000*D105</f>
        <v>0.24232500000000001</v>
      </c>
      <c r="M105" s="31">
        <f>'Price list ALDI Süd'!E102</f>
        <v>11.45</v>
      </c>
      <c r="N105" s="31">
        <f>M105/1000*D105</f>
        <v>0.15457499999999999</v>
      </c>
      <c r="P105" s="42">
        <f>'Price list ALDI Süd'!H102</f>
        <v>14.75</v>
      </c>
      <c r="Q105" s="42">
        <f>P105/1000*D105</f>
        <v>0.199125</v>
      </c>
    </row>
    <row r="106" spans="1:17" ht="17" x14ac:dyDescent="0.2">
      <c r="B106" s="1" t="s">
        <v>213</v>
      </c>
      <c r="D106" s="7">
        <f>D104/2</f>
        <v>13.5</v>
      </c>
      <c r="E106" s="1">
        <f>D106*7</f>
        <v>94.5</v>
      </c>
      <c r="F106" s="7"/>
      <c r="G106" s="31">
        <f>'Price list REWE '!E103</f>
        <v>11.45</v>
      </c>
      <c r="H106" s="31">
        <f>G106/1000*D106</f>
        <v>0.15457499999999999</v>
      </c>
      <c r="J106" s="42">
        <f>'Price list REWE '!H103</f>
        <v>11.45</v>
      </c>
      <c r="K106" s="42">
        <f>J106/1000*D106</f>
        <v>0.15457499999999999</v>
      </c>
      <c r="M106" s="31">
        <f>'Price list ALDI Süd'!E103</f>
        <v>11.45</v>
      </c>
      <c r="N106" s="31">
        <f>M106/1000*D106</f>
        <v>0.15457499999999999</v>
      </c>
      <c r="P106" s="42">
        <f>'Price list ALDI Süd'!H103</f>
        <v>11.45</v>
      </c>
      <c r="Q106" s="42">
        <f>P106/1000*D106</f>
        <v>0.15457499999999999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7.3440000000000003</v>
      </c>
      <c r="E108" s="8">
        <f>D108*7</f>
        <v>51.408000000000001</v>
      </c>
      <c r="F108" s="8">
        <f>60*C4</f>
        <v>64.800000000000011</v>
      </c>
    </row>
    <row r="109" spans="1:17" ht="17" x14ac:dyDescent="0.2">
      <c r="B109" s="1" t="s">
        <v>216</v>
      </c>
      <c r="D109" s="1">
        <f>D108</f>
        <v>7.3440000000000003</v>
      </c>
      <c r="E109" s="1">
        <f>D109*7</f>
        <v>51.408000000000001</v>
      </c>
      <c r="G109" s="31">
        <f>'Price list REWE '!E106</f>
        <v>2.98</v>
      </c>
      <c r="H109" s="31">
        <f>G109/1000*D109</f>
        <v>2.1885120000000001E-2</v>
      </c>
      <c r="J109" s="42">
        <f>'Price list REWE '!H106</f>
        <v>7.16</v>
      </c>
      <c r="K109" s="42">
        <f>J109/1000*D109</f>
        <v>5.2583040000000004E-2</v>
      </c>
      <c r="M109" s="31">
        <f>'Price list ALDI Süd'!E106</f>
        <v>3.38</v>
      </c>
      <c r="N109" s="31">
        <f>M109/1000*D109</f>
        <v>2.482272E-2</v>
      </c>
      <c r="P109" s="42">
        <f>'Price list ALDI Süd'!H106</f>
        <v>7.16</v>
      </c>
      <c r="Q109" s="42">
        <f>P109/1000*D109</f>
        <v>5.2583040000000004E-2</v>
      </c>
    </row>
    <row r="110" spans="1:17" x14ac:dyDescent="0.2">
      <c r="A110" s="9">
        <v>1</v>
      </c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43.2</v>
      </c>
      <c r="E111" s="8">
        <f>D111*7</f>
        <v>302.40000000000003</v>
      </c>
      <c r="F111" s="8">
        <f>354*C4</f>
        <v>382.32000000000005</v>
      </c>
    </row>
    <row r="112" spans="1:17" ht="17" x14ac:dyDescent="0.2">
      <c r="B112" s="1" t="s">
        <v>220</v>
      </c>
      <c r="D112" s="1">
        <f>$D$111/3</f>
        <v>14.4</v>
      </c>
      <c r="E112" s="7">
        <f>D112*7</f>
        <v>100.8</v>
      </c>
      <c r="G112" s="31">
        <f>'Price list REWE '!E109</f>
        <v>3.78</v>
      </c>
      <c r="H112" s="31">
        <f>G112/1000*D112</f>
        <v>5.4432000000000001E-2</v>
      </c>
      <c r="J112" s="42">
        <f>'Price list REWE '!H109</f>
        <v>3.5</v>
      </c>
      <c r="K112" s="42">
        <f>J112/1000*D112</f>
        <v>5.04E-2</v>
      </c>
      <c r="M112" s="31">
        <f>'Price list ALDI Süd'!E109</f>
        <v>1.851</v>
      </c>
      <c r="N112" s="31">
        <f>M112/1000*D112</f>
        <v>2.6654400000000002E-2</v>
      </c>
      <c r="P112" s="42">
        <f>'Price list ALDI Süd'!H109</f>
        <v>3.7</v>
      </c>
      <c r="Q112" s="42">
        <f>P112/1000*D112</f>
        <v>5.3280000000000001E-2</v>
      </c>
    </row>
    <row r="113" spans="1:17" ht="17" x14ac:dyDescent="0.2">
      <c r="B113" s="1" t="s">
        <v>223</v>
      </c>
      <c r="D113" s="1">
        <f>$D$111/3</f>
        <v>14.4</v>
      </c>
      <c r="E113" s="1">
        <f>D113*7</f>
        <v>100.8</v>
      </c>
      <c r="F113" s="7"/>
      <c r="G113" s="31">
        <f>'Price list REWE '!E110</f>
        <v>8.99</v>
      </c>
      <c r="H113" s="31">
        <f>G113/1000*D113</f>
        <v>0.12945599999999999</v>
      </c>
      <c r="J113" s="42">
        <f>'Price list REWE '!H110</f>
        <v>14.58</v>
      </c>
      <c r="K113" s="42">
        <f>J113/1000*D113</f>
        <v>0.209952</v>
      </c>
      <c r="M113" s="31">
        <f>'Price list ALDI Süd'!E110</f>
        <v>7.99</v>
      </c>
      <c r="N113" s="31">
        <f>M113/1000*D113</f>
        <v>0.11505600000000001</v>
      </c>
      <c r="P113" s="42">
        <f>'Price list ALDI Süd'!H110</f>
        <v>9.32</v>
      </c>
      <c r="Q113" s="42">
        <f>P113/1000*D113</f>
        <v>0.13420799999999999</v>
      </c>
    </row>
    <row r="114" spans="1:17" ht="17" x14ac:dyDescent="0.2">
      <c r="A114" s="1"/>
      <c r="B114" s="1" t="s">
        <v>226</v>
      </c>
      <c r="D114" s="1">
        <f>$D$111/3</f>
        <v>14.4</v>
      </c>
      <c r="E114" s="1">
        <f>D114*7</f>
        <v>100.8</v>
      </c>
      <c r="F114" s="7"/>
      <c r="G114" s="31">
        <f>'Price list REWE '!E111</f>
        <v>10.36</v>
      </c>
      <c r="H114" s="31">
        <f>G114/1000*D114</f>
        <v>0.14918399999999998</v>
      </c>
      <c r="J114" s="42">
        <f>'Price list REWE '!H111</f>
        <v>15.96</v>
      </c>
      <c r="K114" s="42">
        <f>J114/1000*D114</f>
        <v>0.22982400000000003</v>
      </c>
      <c r="M114" s="31">
        <f>'Price list ALDI Süd'!E111</f>
        <v>6.76</v>
      </c>
      <c r="N114" s="31">
        <f>M114/1000*D114</f>
        <v>9.7344E-2</v>
      </c>
      <c r="P114" s="42">
        <f>'Price list ALDI Süd'!H111</f>
        <v>6.76</v>
      </c>
      <c r="Q114" s="42">
        <f>P114/1000*D114</f>
        <v>9.7344E-2</v>
      </c>
    </row>
    <row r="115" spans="1:17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38.880000000000003</v>
      </c>
    </row>
    <row r="117" spans="1:17" ht="17" x14ac:dyDescent="0.2">
      <c r="B117" s="1" t="s">
        <v>230</v>
      </c>
      <c r="D117" s="7">
        <f>5*C4</f>
        <v>5.4</v>
      </c>
      <c r="E117" s="7">
        <f>D117*7</f>
        <v>37.800000000000004</v>
      </c>
      <c r="G117" s="31">
        <f>'Price list REWE '!E114</f>
        <v>5.8</v>
      </c>
      <c r="H117" s="31">
        <f>G117/1000*D117</f>
        <v>3.1320000000000001E-2</v>
      </c>
      <c r="J117" s="42">
        <f>'Price list REWE '!H114</f>
        <v>11.96</v>
      </c>
      <c r="K117" s="42">
        <f>J117/1000*D117</f>
        <v>6.4584000000000003E-2</v>
      </c>
      <c r="M117" s="31">
        <f>'Price list ALDI Süd'!E114</f>
        <v>5.8</v>
      </c>
      <c r="N117" s="31">
        <f>M117/1000*D117</f>
        <v>3.1320000000000001E-2</v>
      </c>
      <c r="P117" s="42">
        <f>'Price list ALDI Süd'!H114</f>
        <v>11.96</v>
      </c>
      <c r="Q117" s="42">
        <f>P117/1000*D117</f>
        <v>6.4584000000000003E-2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7" x14ac:dyDescent="0.2">
      <c r="A119" s="12" t="s">
        <v>414</v>
      </c>
      <c r="D119" s="4">
        <f>31*C4</f>
        <v>33.480000000000004</v>
      </c>
      <c r="E119" s="4">
        <f>D119*E10</f>
        <v>234.36</v>
      </c>
      <c r="F119" s="4">
        <f>120*C4</f>
        <v>129.60000000000002</v>
      </c>
    </row>
    <row r="120" spans="1:17" ht="17" x14ac:dyDescent="0.2">
      <c r="A120" s="188"/>
      <c r="B120" s="1" t="s">
        <v>234</v>
      </c>
      <c r="D120" s="1">
        <f>D119/3</f>
        <v>11.160000000000002</v>
      </c>
      <c r="E120" s="1">
        <f>D120*7</f>
        <v>78.120000000000019</v>
      </c>
      <c r="G120" s="31">
        <f>'Price list REWE '!E117</f>
        <v>1.49</v>
      </c>
      <c r="H120" s="31">
        <f>G120/1000*D120</f>
        <v>1.6628400000000002E-2</v>
      </c>
      <c r="J120" s="42">
        <f>'Price list REWE '!H117</f>
        <v>2.59</v>
      </c>
      <c r="K120" s="42">
        <f>J120/1000*D120</f>
        <v>2.8904400000000004E-2</v>
      </c>
      <c r="M120" s="31">
        <f>'Price list ALDI Süd'!E117</f>
        <v>1.49</v>
      </c>
      <c r="N120" s="31">
        <f>M120/1000*D120</f>
        <v>1.6628400000000002E-2</v>
      </c>
      <c r="P120" s="42">
        <f>'Price list ALDI Süd'!H117</f>
        <v>2.59</v>
      </c>
      <c r="Q120" s="42">
        <f>P120/1000*D120</f>
        <v>2.8904400000000004E-2</v>
      </c>
    </row>
    <row r="121" spans="1:17" ht="17" x14ac:dyDescent="0.2">
      <c r="B121" s="1" t="s">
        <v>237</v>
      </c>
      <c r="D121" s="1">
        <f>D119/3</f>
        <v>11.160000000000002</v>
      </c>
      <c r="E121" s="1">
        <f>D121*7</f>
        <v>78.120000000000019</v>
      </c>
      <c r="G121" s="31">
        <f>'Price list REWE '!E118</f>
        <v>5.9</v>
      </c>
      <c r="H121" s="31">
        <f>G121/1000*D121</f>
        <v>6.5844000000000014E-2</v>
      </c>
      <c r="J121" s="42">
        <f>'Price list REWE '!H118</f>
        <v>12.9</v>
      </c>
      <c r="K121" s="42">
        <f>J121/1000*D121</f>
        <v>0.14396400000000004</v>
      </c>
      <c r="M121" s="31">
        <f>'Price list ALDI Süd'!E118</f>
        <v>5.9</v>
      </c>
      <c r="N121" s="31">
        <f>M121/1000*D121</f>
        <v>6.5844000000000014E-2</v>
      </c>
      <c r="P121" s="42">
        <f>'Price list ALDI Süd'!H118</f>
        <v>12.9</v>
      </c>
      <c r="Q121" s="42">
        <f>P121/1000*D121</f>
        <v>0.14396400000000004</v>
      </c>
    </row>
    <row r="122" spans="1:17" ht="17" x14ac:dyDescent="0.2">
      <c r="B122" s="252" t="s">
        <v>240</v>
      </c>
      <c r="D122" s="1">
        <f>D119/3</f>
        <v>11.160000000000002</v>
      </c>
      <c r="E122" s="1">
        <f>D122*7</f>
        <v>78.120000000000019</v>
      </c>
      <c r="G122" s="31">
        <f>'Price list REWE '!E119</f>
        <v>3.66</v>
      </c>
      <c r="H122" s="31">
        <f>G122/1000*D122</f>
        <v>4.084560000000001E-2</v>
      </c>
      <c r="J122" s="42">
        <f>'Price list REWE '!H119</f>
        <v>14.9</v>
      </c>
      <c r="K122" s="42">
        <f>J122/1000*D122</f>
        <v>0.16628400000000004</v>
      </c>
      <c r="M122" s="31">
        <f>'Price list ALDI Süd'!E119</f>
        <v>3.96</v>
      </c>
      <c r="N122" s="31">
        <f>M122/1000*D122</f>
        <v>4.4193600000000006E-2</v>
      </c>
      <c r="P122" s="42">
        <f>'Price list ALDI Süd'!H119</f>
        <v>9.4499999999999993</v>
      </c>
      <c r="Q122" s="42">
        <f>P122/1000*D122</f>
        <v>0.10546200000000001</v>
      </c>
    </row>
    <row r="123" spans="1:17" x14ac:dyDescent="0.2">
      <c r="A123" s="9">
        <v>3</v>
      </c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1620</v>
      </c>
      <c r="E124" s="4">
        <f>D124*E10</f>
        <v>11340</v>
      </c>
    </row>
    <row r="125" spans="1:17" ht="17" x14ac:dyDescent="0.2">
      <c r="B125" s="1" t="s">
        <v>415</v>
      </c>
      <c r="D125" s="1">
        <f>D124-D126-D127</f>
        <v>1220</v>
      </c>
      <c r="E125" s="1">
        <f>D125*7</f>
        <v>8540</v>
      </c>
      <c r="G125" s="31">
        <f>'Price list REWE '!E122</f>
        <v>0.18</v>
      </c>
      <c r="H125" s="31">
        <f>G125/1000*D125</f>
        <v>0.21959999999999999</v>
      </c>
      <c r="J125" s="42">
        <f>'Price list REWE '!H122</f>
        <v>0.18</v>
      </c>
      <c r="K125" s="42">
        <f>J125/1000*D125</f>
        <v>0.21959999999999999</v>
      </c>
      <c r="M125" s="31">
        <f>'Price list ALDI Süd'!E122</f>
        <v>0.18</v>
      </c>
      <c r="N125" s="31">
        <f>M125/1000*D125</f>
        <v>0.21959999999999999</v>
      </c>
      <c r="P125" s="42">
        <f>'Price list ALDI Süd'!H122</f>
        <v>0.18</v>
      </c>
      <c r="Q125" s="42">
        <f>P125/1000*D125</f>
        <v>0.21959999999999999</v>
      </c>
    </row>
    <row r="126" spans="1:17" ht="17" x14ac:dyDescent="0.2">
      <c r="B126" s="1" t="s">
        <v>416</v>
      </c>
      <c r="D126" s="1">
        <v>200</v>
      </c>
      <c r="E126" s="1">
        <f>D126*7</f>
        <v>1400</v>
      </c>
      <c r="G126" s="31">
        <f>'Price list REWE '!E123</f>
        <v>6.98</v>
      </c>
      <c r="H126" s="31">
        <f>G126/1000*12</f>
        <v>8.3760000000000001E-2</v>
      </c>
      <c r="J126" s="42">
        <f>'Price list REWE '!H123</f>
        <v>11.98</v>
      </c>
      <c r="K126" s="42">
        <f>J126/1000*12</f>
        <v>0.14376</v>
      </c>
      <c r="M126" s="31">
        <f>'Price list ALDI Süd'!E123</f>
        <v>7.98</v>
      </c>
      <c r="N126" s="31">
        <f>M126/1000*12</f>
        <v>9.5760000000000012E-2</v>
      </c>
      <c r="P126" s="42">
        <f>'Price list ALDI Süd'!H123</f>
        <v>11.38</v>
      </c>
      <c r="Q126" s="42">
        <f>P126/1000*12</f>
        <v>0.13656000000000001</v>
      </c>
    </row>
    <row r="127" spans="1:17" ht="17" x14ac:dyDescent="0.2">
      <c r="B127" s="1" t="s">
        <v>417</v>
      </c>
      <c r="D127" s="1">
        <v>200</v>
      </c>
      <c r="E127" s="1">
        <f>D127*7</f>
        <v>1400</v>
      </c>
      <c r="G127" s="31">
        <f>'Price list REWE '!E124</f>
        <v>12.27</v>
      </c>
      <c r="H127" s="31">
        <f>G127/1000*(56/25)</f>
        <v>2.74848E-2</v>
      </c>
      <c r="J127" s="42">
        <f>'Price list REWE '!H124</f>
        <v>67.25</v>
      </c>
      <c r="K127" s="42">
        <f>J127/1000*(40/20)</f>
        <v>0.13450000000000001</v>
      </c>
      <c r="M127" s="31">
        <f>'Price list ALDI Süd'!E124</f>
        <v>12.27</v>
      </c>
      <c r="N127" s="31">
        <f>M127/1000*(56.25/25)</f>
        <v>2.76075E-2</v>
      </c>
      <c r="P127" s="42">
        <f>'Price list ALDI Süd'!H124</f>
        <v>67.25</v>
      </c>
      <c r="Q127" s="42">
        <f>P127/1000*(40/20)</f>
        <v>0.13450000000000001</v>
      </c>
    </row>
    <row r="128" spans="1:17" ht="17" x14ac:dyDescent="0.2">
      <c r="B128" s="1" t="s">
        <v>439</v>
      </c>
      <c r="D128" s="1">
        <f>E128/7</f>
        <v>47.142857142857146</v>
      </c>
      <c r="E128" s="1">
        <v>330</v>
      </c>
      <c r="G128" s="31">
        <f>'Price list REWE '!E125</f>
        <v>0.9</v>
      </c>
      <c r="H128" s="31">
        <f>G128/1000*D128</f>
        <v>4.2428571428571434E-2</v>
      </c>
      <c r="J128" s="42">
        <f>'Price list REWE '!H125</f>
        <v>2</v>
      </c>
      <c r="K128" s="42">
        <f>J128/1000*D128</f>
        <v>9.4285714285714292E-2</v>
      </c>
      <c r="M128" s="31">
        <f>'Price list ALDI Süd'!E125</f>
        <v>0.9</v>
      </c>
      <c r="N128" s="31">
        <f>M128/1000*D128</f>
        <v>4.2428571428571434E-2</v>
      </c>
      <c r="P128" s="42">
        <f>'Price list ALDI Süd'!H125</f>
        <v>2</v>
      </c>
      <c r="Q128" s="42">
        <f>P128/1000*D128</f>
        <v>9.4285714285714292E-2</v>
      </c>
    </row>
    <row r="129" spans="1:19" ht="17" x14ac:dyDescent="0.2">
      <c r="B129" s="1" t="s">
        <v>440</v>
      </c>
      <c r="D129" s="1">
        <f>E129/7</f>
        <v>35.714285714285715</v>
      </c>
      <c r="E129" s="1">
        <v>250</v>
      </c>
      <c r="G129" s="31">
        <f>'Price list REWE '!E126</f>
        <v>2.65</v>
      </c>
      <c r="H129" s="31">
        <f>G129/1000*D129</f>
        <v>9.464285714285714E-2</v>
      </c>
      <c r="J129" s="42">
        <f>'Price list REWE '!H126</f>
        <v>5.32</v>
      </c>
      <c r="K129" s="42">
        <f>J129/1000*D129</f>
        <v>0.19</v>
      </c>
      <c r="M129" s="31">
        <f>'Price list ALDI Süd'!E126</f>
        <v>2.92</v>
      </c>
      <c r="N129" s="31">
        <f>M129/1000*D129</f>
        <v>0.10428571428571429</v>
      </c>
      <c r="P129" s="42">
        <f>'Price list ALDI Süd'!H126</f>
        <v>3.45</v>
      </c>
      <c r="Q129" s="42">
        <f>P129/1000*D129</f>
        <v>0.12321428571428573</v>
      </c>
    </row>
    <row r="130" spans="1:19" x14ac:dyDescent="0.2">
      <c r="A130" s="9">
        <v>5</v>
      </c>
    </row>
    <row r="132" spans="1:19" s="4" customFormat="1" ht="17" x14ac:dyDescent="0.2">
      <c r="A132" s="185" t="s">
        <v>431</v>
      </c>
      <c r="F132" s="12" t="s">
        <v>423</v>
      </c>
      <c r="G132" s="91"/>
      <c r="H132" s="185" t="s">
        <v>432</v>
      </c>
      <c r="I132" s="81"/>
      <c r="J132" s="81"/>
      <c r="K132" s="185" t="s">
        <v>432</v>
      </c>
      <c r="L132" s="220"/>
      <c r="M132" s="220"/>
      <c r="N132" s="185" t="s">
        <v>432</v>
      </c>
      <c r="O132" s="220"/>
      <c r="P132" s="220"/>
      <c r="Q132" s="185" t="s">
        <v>432</v>
      </c>
      <c r="R132" s="255"/>
      <c r="S132" s="92"/>
    </row>
    <row r="133" spans="1:19" ht="17" x14ac:dyDescent="0.2">
      <c r="A133" s="273">
        <f>A130+A123+A118+A115+A107+A103+A99+A95+A87+A82+A79+A76+A73+A70+A59+A47+A40+A20+A17+A32+A110</f>
        <v>75</v>
      </c>
      <c r="D133" s="9"/>
      <c r="E133" s="9"/>
      <c r="F133" s="1">
        <f>F119+F116+F111+F108+F104+F101+F96+F88+F83+F80+F77+F74+F71+F60+F48+F41+F33+F23+F18+F11</f>
        <v>2703.2400000000002</v>
      </c>
      <c r="H133" s="1" t="s">
        <v>433</v>
      </c>
      <c r="K133" s="1" t="s">
        <v>433</v>
      </c>
      <c r="N133" s="1" t="s">
        <v>433</v>
      </c>
      <c r="Q133" s="1" t="s">
        <v>433</v>
      </c>
    </row>
    <row r="134" spans="1:19" x14ac:dyDescent="0.2">
      <c r="H134" s="1">
        <f>SUM(H12:H129)</f>
        <v>5.0243909906352293</v>
      </c>
      <c r="K134" s="1">
        <f>SUM(K12:K129)</f>
        <v>7.8570588455934978</v>
      </c>
      <c r="N134" s="1">
        <f>SUM(N12:N129)</f>
        <v>4.9126568663086045</v>
      </c>
      <c r="Q134" s="1">
        <f>SUM(Q12:Q129)</f>
        <v>6.9422706464509458</v>
      </c>
    </row>
    <row r="135" spans="1:19" x14ac:dyDescent="0.2"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9" ht="17" x14ac:dyDescent="0.2">
      <c r="H136" s="9" t="s">
        <v>434</v>
      </c>
      <c r="I136" s="9"/>
      <c r="J136" s="9"/>
      <c r="K136" s="9" t="s">
        <v>434</v>
      </c>
      <c r="L136" s="9"/>
      <c r="M136" s="9"/>
      <c r="N136" s="9" t="s">
        <v>434</v>
      </c>
      <c r="O136" s="9"/>
      <c r="P136" s="9"/>
      <c r="Q136" s="9" t="s">
        <v>434</v>
      </c>
    </row>
    <row r="137" spans="1:19" x14ac:dyDescent="0.2">
      <c r="H137" s="9">
        <f>H134*30</f>
        <v>150.73172971905689</v>
      </c>
      <c r="I137" s="9"/>
      <c r="J137" s="9"/>
      <c r="K137" s="9">
        <f>K134*30</f>
        <v>235.71176536780493</v>
      </c>
      <c r="L137" s="9"/>
      <c r="M137" s="9"/>
      <c r="N137" s="9">
        <f>N134*30</f>
        <v>147.37970598925813</v>
      </c>
      <c r="O137" s="9"/>
      <c r="P137" s="9"/>
      <c r="Q137" s="9">
        <f>Q134*30</f>
        <v>208.26811939352837</v>
      </c>
    </row>
  </sheetData>
  <mergeCells count="9">
    <mergeCell ref="A2:Q2"/>
    <mergeCell ref="G5:K6"/>
    <mergeCell ref="M5:Q6"/>
    <mergeCell ref="A1:Q1"/>
    <mergeCell ref="G7:H8"/>
    <mergeCell ref="J7:K8"/>
    <mergeCell ref="M7:N8"/>
    <mergeCell ref="P7:Q8"/>
    <mergeCell ref="A4:B4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179E0-B7DC-DD49-819F-07CD09D7D1D6}">
  <sheetPr codeName="Tabelle8">
    <tabColor theme="5" tint="0.79998168889431442"/>
    <pageSetUpPr fitToPage="1"/>
  </sheetPr>
  <dimension ref="A1:N140"/>
  <sheetViews>
    <sheetView zoomScale="88" zoomScaleNormal="80" workbookViewId="0">
      <pane ySplit="5" topLeftCell="A6" activePane="bottomLeft" state="frozen"/>
      <selection pane="bottomLeft" activeCell="A2" sqref="A2:F2"/>
    </sheetView>
  </sheetViews>
  <sheetFormatPr baseColWidth="10" defaultColWidth="10.83203125" defaultRowHeight="16" x14ac:dyDescent="0.2"/>
  <cols>
    <col min="1" max="1" width="26.1640625" style="9" customWidth="1"/>
    <col min="2" max="2" width="30.5" style="1" customWidth="1"/>
    <col min="3" max="3" width="11.83203125" style="1" customWidth="1"/>
    <col min="4" max="4" width="19.33203125" style="1" customWidth="1"/>
    <col min="5" max="5" width="23.1640625" style="1" customWidth="1"/>
    <col min="6" max="6" width="15.1640625" style="1" customWidth="1"/>
    <col min="7" max="8" width="16" style="1" customWidth="1"/>
    <col min="9" max="10" width="15.5" style="1" customWidth="1"/>
    <col min="11" max="12" width="15.6640625" style="1" customWidth="1"/>
    <col min="13" max="13" width="15.33203125" style="1" customWidth="1"/>
    <col min="14" max="14" width="15.1640625" style="1" customWidth="1"/>
    <col min="15" max="16384" width="10.83203125" style="1"/>
  </cols>
  <sheetData>
    <row r="1" spans="1:14" ht="17" customHeight="1" x14ac:dyDescent="0.2">
      <c r="A1" s="382" t="s">
        <v>12</v>
      </c>
      <c r="B1" s="383"/>
      <c r="C1" s="383"/>
      <c r="D1" s="383"/>
      <c r="E1" s="383"/>
      <c r="F1" s="384"/>
    </row>
    <row r="2" spans="1:14" x14ac:dyDescent="0.2">
      <c r="A2" s="382" t="s">
        <v>633</v>
      </c>
      <c r="B2" s="383"/>
      <c r="C2" s="383"/>
      <c r="D2" s="383"/>
      <c r="E2" s="383"/>
      <c r="F2" s="384"/>
    </row>
    <row r="3" spans="1:14" x14ac:dyDescent="0.2">
      <c r="A3" s="382" t="s">
        <v>385</v>
      </c>
      <c r="B3" s="383"/>
      <c r="C3" s="383"/>
      <c r="D3" s="383"/>
      <c r="E3" s="383"/>
      <c r="F3" s="384"/>
      <c r="I3" s="15"/>
      <c r="J3" s="15"/>
      <c r="K3" s="15"/>
    </row>
    <row r="4" spans="1:14" ht="16" customHeight="1" x14ac:dyDescent="0.2"/>
    <row r="5" spans="1:14" s="12" customFormat="1" ht="34" customHeight="1" x14ac:dyDescent="0.2">
      <c r="A5" s="12" t="s">
        <v>17</v>
      </c>
      <c r="B5" s="12" t="s">
        <v>18</v>
      </c>
      <c r="C5" s="12" t="s">
        <v>386</v>
      </c>
      <c r="D5" s="12" t="s">
        <v>387</v>
      </c>
      <c r="E5" s="12" t="s">
        <v>388</v>
      </c>
      <c r="F5" s="12" t="s">
        <v>389</v>
      </c>
      <c r="G5" s="397"/>
      <c r="H5" s="397"/>
      <c r="I5" s="397"/>
      <c r="J5" s="397"/>
      <c r="K5" s="397"/>
      <c r="L5" s="397"/>
      <c r="M5" s="397"/>
      <c r="N5" s="397"/>
    </row>
    <row r="6" spans="1:14" s="9" customFormat="1" x14ac:dyDescent="0.2">
      <c r="E6" s="9">
        <v>7</v>
      </c>
    </row>
    <row r="7" spans="1:14" s="4" customFormat="1" ht="18" customHeight="1" x14ac:dyDescent="0.2">
      <c r="A7" s="12" t="s">
        <v>390</v>
      </c>
      <c r="B7" s="12" t="s">
        <v>23</v>
      </c>
      <c r="D7" s="4">
        <v>232</v>
      </c>
      <c r="E7" s="4">
        <f t="shared" ref="E7:E12" si="0">D7*$E$6</f>
        <v>1624</v>
      </c>
      <c r="F7" s="4">
        <v>811</v>
      </c>
    </row>
    <row r="8" spans="1:14" ht="19" customHeight="1" x14ac:dyDescent="0.2">
      <c r="B8" s="1" t="s">
        <v>24</v>
      </c>
      <c r="D8" s="1">
        <v>30</v>
      </c>
      <c r="E8" s="1">
        <f t="shared" si="0"/>
        <v>210</v>
      </c>
    </row>
    <row r="9" spans="1:14" ht="17" x14ac:dyDescent="0.2">
      <c r="B9" s="1" t="s">
        <v>27</v>
      </c>
      <c r="D9" s="1">
        <v>50</v>
      </c>
      <c r="E9" s="1">
        <f t="shared" si="0"/>
        <v>350</v>
      </c>
    </row>
    <row r="10" spans="1:14" ht="17" x14ac:dyDescent="0.2">
      <c r="B10" s="1" t="s">
        <v>30</v>
      </c>
      <c r="D10" s="1">
        <v>50</v>
      </c>
      <c r="E10" s="1">
        <f t="shared" si="0"/>
        <v>350</v>
      </c>
    </row>
    <row r="11" spans="1:14" ht="17" x14ac:dyDescent="0.2">
      <c r="B11" s="1" t="s">
        <v>33</v>
      </c>
      <c r="D11" s="1">
        <v>40</v>
      </c>
      <c r="E11" s="1">
        <f t="shared" si="0"/>
        <v>280</v>
      </c>
    </row>
    <row r="12" spans="1:14" ht="17" x14ac:dyDescent="0.2">
      <c r="B12" s="1" t="s">
        <v>36</v>
      </c>
      <c r="D12" s="1">
        <v>62</v>
      </c>
      <c r="E12" s="1">
        <f t="shared" si="0"/>
        <v>434</v>
      </c>
    </row>
    <row r="13" spans="1:14" x14ac:dyDescent="0.2">
      <c r="A13" s="9">
        <v>5</v>
      </c>
    </row>
    <row r="14" spans="1:14" s="4" customFormat="1" ht="17" customHeight="1" x14ac:dyDescent="0.2">
      <c r="A14" s="12" t="s">
        <v>39</v>
      </c>
      <c r="B14" s="12" t="s">
        <v>40</v>
      </c>
      <c r="D14" s="4">
        <v>50</v>
      </c>
      <c r="E14" s="4">
        <f>D14*$E$6</f>
        <v>350</v>
      </c>
      <c r="F14" s="4">
        <v>39</v>
      </c>
    </row>
    <row r="15" spans="1:14" ht="17" x14ac:dyDescent="0.2">
      <c r="B15" s="1" t="s">
        <v>41</v>
      </c>
      <c r="D15" s="1">
        <v>50</v>
      </c>
      <c r="E15" s="1">
        <f>D15*E6</f>
        <v>350</v>
      </c>
    </row>
    <row r="16" spans="1:14" x14ac:dyDescent="0.2">
      <c r="A16" s="9">
        <v>1</v>
      </c>
    </row>
    <row r="17" spans="1:6" s="4" customFormat="1" ht="17" x14ac:dyDescent="0.2">
      <c r="A17" s="12" t="s">
        <v>391</v>
      </c>
      <c r="D17" s="4">
        <v>300</v>
      </c>
      <c r="E17" s="4">
        <f>D17*$E$6</f>
        <v>2100</v>
      </c>
    </row>
    <row r="18" spans="1:6" x14ac:dyDescent="0.2">
      <c r="A18" s="3"/>
      <c r="C18" s="5"/>
    </row>
    <row r="19" spans="1:6" s="4" customFormat="1" ht="17" x14ac:dyDescent="0.2">
      <c r="A19" s="12"/>
      <c r="B19" s="12" t="s">
        <v>45</v>
      </c>
      <c r="D19" s="4">
        <v>100</v>
      </c>
      <c r="E19" s="4">
        <f>D19*7</f>
        <v>700</v>
      </c>
      <c r="F19" s="4">
        <v>23</v>
      </c>
    </row>
    <row r="20" spans="1:6" ht="17" x14ac:dyDescent="0.2">
      <c r="B20" s="16" t="s">
        <v>392</v>
      </c>
      <c r="C20" s="340">
        <v>8.1854823894030371E-2</v>
      </c>
      <c r="D20" s="6">
        <f>C20*$D$19</f>
        <v>8.1854823894030364</v>
      </c>
      <c r="E20" s="1">
        <f>D20*7</f>
        <v>57.298376725821257</v>
      </c>
    </row>
    <row r="21" spans="1:6" ht="17" x14ac:dyDescent="0.2">
      <c r="B21" s="16" t="s">
        <v>393</v>
      </c>
      <c r="C21" s="340">
        <v>4.183137662165242E-2</v>
      </c>
      <c r="D21" s="6">
        <f>C21*$D$19</f>
        <v>4.1831376621652421</v>
      </c>
      <c r="E21" s="1">
        <f t="shared" ref="E21:E27" si="1">D21*7</f>
        <v>29.281963635156693</v>
      </c>
    </row>
    <row r="22" spans="1:6" ht="17" x14ac:dyDescent="0.2">
      <c r="B22" s="16" t="s">
        <v>51</v>
      </c>
      <c r="C22" s="340">
        <v>5.5140886754685689E-2</v>
      </c>
      <c r="D22" s="6">
        <f t="shared" ref="D22:D27" si="2">C22*$D$19</f>
        <v>5.5140886754685692</v>
      </c>
      <c r="E22" s="1">
        <f t="shared" si="1"/>
        <v>38.598620728279982</v>
      </c>
    </row>
    <row r="23" spans="1:6" ht="17" x14ac:dyDescent="0.2">
      <c r="B23" s="16" t="s">
        <v>394</v>
      </c>
      <c r="C23" s="340">
        <v>7.8411761271535096E-2</v>
      </c>
      <c r="D23" s="6">
        <f t="shared" si="2"/>
        <v>7.8411761271535099</v>
      </c>
      <c r="E23" s="1">
        <f t="shared" si="1"/>
        <v>54.888232890074569</v>
      </c>
    </row>
    <row r="24" spans="1:6" ht="17" x14ac:dyDescent="0.2">
      <c r="B24" s="16" t="s">
        <v>395</v>
      </c>
      <c r="C24" s="340">
        <v>0.10804527200358816</v>
      </c>
      <c r="D24" s="6">
        <f t="shared" si="2"/>
        <v>10.804527200358816</v>
      </c>
      <c r="E24" s="1">
        <f t="shared" si="1"/>
        <v>75.631690402511708</v>
      </c>
    </row>
    <row r="25" spans="1:6" ht="17" x14ac:dyDescent="0.2">
      <c r="B25" s="10" t="s">
        <v>396</v>
      </c>
      <c r="C25" s="340">
        <v>0.24433687491347134</v>
      </c>
      <c r="D25" s="6">
        <f>C25*$D$19</f>
        <v>24.433687491347133</v>
      </c>
      <c r="E25" s="1">
        <f t="shared" si="1"/>
        <v>171.03581243942992</v>
      </c>
    </row>
    <row r="26" spans="1:6" ht="17" x14ac:dyDescent="0.2">
      <c r="B26" s="16" t="s">
        <v>63</v>
      </c>
      <c r="C26" s="340">
        <v>0.19518950227051848</v>
      </c>
      <c r="D26" s="6">
        <f t="shared" si="2"/>
        <v>19.51895022705185</v>
      </c>
      <c r="E26" s="1">
        <f t="shared" si="1"/>
        <v>136.63265158936295</v>
      </c>
    </row>
    <row r="27" spans="1:6" ht="17" x14ac:dyDescent="0.2">
      <c r="B27" s="16" t="s">
        <v>66</v>
      </c>
      <c r="C27" s="340">
        <v>0.19518950227051848</v>
      </c>
      <c r="D27" s="6">
        <f t="shared" si="2"/>
        <v>19.51895022705185</v>
      </c>
      <c r="E27" s="1">
        <f t="shared" si="1"/>
        <v>136.63265158936295</v>
      </c>
    </row>
    <row r="28" spans="1:6" x14ac:dyDescent="0.2">
      <c r="A28" s="9">
        <v>8</v>
      </c>
      <c r="B28" s="17"/>
      <c r="C28" s="340"/>
    </row>
    <row r="29" spans="1:6" s="4" customFormat="1" ht="17" x14ac:dyDescent="0.2">
      <c r="A29" s="12"/>
      <c r="B29" s="12" t="s">
        <v>69</v>
      </c>
      <c r="C29" s="341"/>
      <c r="F29" s="4">
        <v>30</v>
      </c>
    </row>
    <row r="30" spans="1:6" ht="17" x14ac:dyDescent="0.2">
      <c r="B30" s="23" t="s">
        <v>70</v>
      </c>
      <c r="C30" s="340">
        <v>0.21012979994107583</v>
      </c>
      <c r="D30" s="6">
        <v>21.012979994107585</v>
      </c>
      <c r="E30" s="1">
        <f t="shared" ref="E30:E35" si="3">D30*7</f>
        <v>147.0908599587531</v>
      </c>
    </row>
    <row r="31" spans="1:6" ht="17" x14ac:dyDescent="0.2">
      <c r="B31" s="10" t="s">
        <v>73</v>
      </c>
      <c r="C31" s="340">
        <v>0.19042830974833957</v>
      </c>
      <c r="D31" s="6">
        <v>19.042830974833961</v>
      </c>
      <c r="E31" s="1">
        <f t="shared" si="3"/>
        <v>133.29981682383772</v>
      </c>
    </row>
    <row r="32" spans="1:6" ht="17" x14ac:dyDescent="0.2">
      <c r="B32" s="23" t="s">
        <v>76</v>
      </c>
      <c r="C32" s="340">
        <v>0.19042830974833957</v>
      </c>
      <c r="D32" s="6">
        <v>19.042830974833961</v>
      </c>
      <c r="E32" s="1">
        <f t="shared" si="3"/>
        <v>133.29981682383772</v>
      </c>
    </row>
    <row r="33" spans="1:6" ht="17" x14ac:dyDescent="0.2">
      <c r="B33" s="23" t="s">
        <v>79</v>
      </c>
      <c r="C33" s="340">
        <v>0.19042830974833957</v>
      </c>
      <c r="D33" s="6">
        <v>19.042830974833961</v>
      </c>
      <c r="E33" s="1">
        <f t="shared" si="3"/>
        <v>133.29981682383772</v>
      </c>
    </row>
    <row r="34" spans="1:6" ht="17" x14ac:dyDescent="0.2">
      <c r="B34" s="16" t="s">
        <v>82</v>
      </c>
      <c r="C34" s="340">
        <v>0.10929263540695267</v>
      </c>
      <c r="D34" s="6">
        <v>10.929263540695269</v>
      </c>
      <c r="E34" s="1">
        <f t="shared" si="3"/>
        <v>76.504844784866876</v>
      </c>
    </row>
    <row r="35" spans="1:6" ht="17" x14ac:dyDescent="0.2">
      <c r="B35" s="16" t="s">
        <v>397</v>
      </c>
      <c r="C35" s="340">
        <v>0.10929263540695267</v>
      </c>
      <c r="D35" s="6">
        <v>10.929263540695269</v>
      </c>
      <c r="E35" s="1">
        <f t="shared" si="3"/>
        <v>76.504844784866876</v>
      </c>
    </row>
    <row r="36" spans="1:6" x14ac:dyDescent="0.2">
      <c r="A36" s="9">
        <v>6</v>
      </c>
      <c r="C36" s="340"/>
      <c r="D36" s="6"/>
    </row>
    <row r="37" spans="1:6" s="4" customFormat="1" ht="17" x14ac:dyDescent="0.2">
      <c r="A37" s="12"/>
      <c r="B37" s="25" t="s">
        <v>88</v>
      </c>
      <c r="C37" s="343"/>
      <c r="D37" s="21"/>
      <c r="E37" s="22"/>
      <c r="F37" s="4">
        <v>25</v>
      </c>
    </row>
    <row r="38" spans="1:6" ht="17" x14ac:dyDescent="0.2">
      <c r="B38" s="16" t="s">
        <v>89</v>
      </c>
      <c r="C38" s="340">
        <v>0.24393305975418372</v>
      </c>
      <c r="D38" s="1">
        <v>24.393305975418372</v>
      </c>
      <c r="E38" s="1">
        <f>D38*7</f>
        <v>170.7531418279286</v>
      </c>
    </row>
    <row r="39" spans="1:6" ht="17" x14ac:dyDescent="0.2">
      <c r="B39" s="16" t="s">
        <v>91</v>
      </c>
      <c r="C39" s="340">
        <v>0.10630306243579046</v>
      </c>
      <c r="D39" s="1">
        <v>10.630306243579046</v>
      </c>
      <c r="E39" s="1">
        <f>D39*7</f>
        <v>74.412143705053325</v>
      </c>
    </row>
    <row r="40" spans="1:6" ht="17" x14ac:dyDescent="0.2">
      <c r="B40" s="10" t="s">
        <v>94</v>
      </c>
      <c r="C40" s="87">
        <v>0.46774770023805184</v>
      </c>
      <c r="D40" s="6">
        <v>46.774770023805182</v>
      </c>
      <c r="E40" s="1">
        <f>D40*7</f>
        <v>327.4233901666363</v>
      </c>
    </row>
    <row r="41" spans="1:6" ht="17" x14ac:dyDescent="0.2">
      <c r="B41" s="10" t="s">
        <v>398</v>
      </c>
      <c r="C41" s="87">
        <v>0.10260798307610458</v>
      </c>
      <c r="D41" s="6">
        <v>10.260798307610457</v>
      </c>
      <c r="E41" s="1">
        <f>D41*7</f>
        <v>71.825588153273202</v>
      </c>
    </row>
    <row r="42" spans="1:6" ht="17" x14ac:dyDescent="0.2">
      <c r="B42" s="16" t="s">
        <v>100</v>
      </c>
      <c r="C42" s="87">
        <v>7.9408194495869444E-2</v>
      </c>
      <c r="D42" s="1">
        <v>7.9408194495869449</v>
      </c>
      <c r="E42" s="1">
        <f>D42*7</f>
        <v>55.585736147108612</v>
      </c>
    </row>
    <row r="43" spans="1:6" x14ac:dyDescent="0.2">
      <c r="A43" s="9">
        <v>5</v>
      </c>
      <c r="C43" s="87"/>
    </row>
    <row r="44" spans="1:6" s="4" customFormat="1" ht="17" x14ac:dyDescent="0.2">
      <c r="A44" s="12" t="s">
        <v>399</v>
      </c>
      <c r="C44" s="88"/>
      <c r="D44" s="4">
        <v>200</v>
      </c>
      <c r="E44" s="4">
        <f>D44*$E$6</f>
        <v>1400</v>
      </c>
      <c r="F44" s="4">
        <v>126</v>
      </c>
    </row>
    <row r="45" spans="1:6" ht="17" x14ac:dyDescent="0.2">
      <c r="B45" s="11" t="s">
        <v>103</v>
      </c>
      <c r="C45" s="342">
        <v>0.44966025536520082</v>
      </c>
      <c r="D45" s="1">
        <f>C45*$D$44</f>
        <v>89.932051073040171</v>
      </c>
      <c r="E45" s="1">
        <f t="shared" ref="E45:E54" si="4">D45*$E$6</f>
        <v>629.52435751128121</v>
      </c>
    </row>
    <row r="46" spans="1:6" ht="17" x14ac:dyDescent="0.2">
      <c r="B46" s="11" t="s">
        <v>106</v>
      </c>
      <c r="C46" s="342">
        <v>4.5787970295011769E-2</v>
      </c>
      <c r="D46" s="1">
        <f>C46*$D$44</f>
        <v>9.1575940590023546</v>
      </c>
      <c r="E46" s="1">
        <f t="shared" si="4"/>
        <v>64.103158413016487</v>
      </c>
    </row>
    <row r="47" spans="1:6" ht="17" x14ac:dyDescent="0.2">
      <c r="B47" s="11" t="s">
        <v>109</v>
      </c>
      <c r="C47" s="342">
        <v>2.019481503339627E-2</v>
      </c>
      <c r="D47" s="1">
        <f t="shared" ref="D47:D54" si="5">C47*$D$44</f>
        <v>4.0389630066792543</v>
      </c>
      <c r="E47" s="1">
        <f t="shared" si="4"/>
        <v>28.272741046754781</v>
      </c>
    </row>
    <row r="48" spans="1:6" ht="17" x14ac:dyDescent="0.2">
      <c r="B48" s="11" t="s">
        <v>111</v>
      </c>
      <c r="C48" s="342">
        <v>2.0560497203855613E-2</v>
      </c>
      <c r="D48" s="1">
        <f t="shared" si="5"/>
        <v>4.1120994407711224</v>
      </c>
      <c r="E48" s="1">
        <f t="shared" si="4"/>
        <v>28.784696085397858</v>
      </c>
    </row>
    <row r="49" spans="1:6" ht="17" x14ac:dyDescent="0.2">
      <c r="B49" s="11" t="s">
        <v>114</v>
      </c>
      <c r="C49" s="342">
        <v>1.772181875645604E-2</v>
      </c>
      <c r="D49" s="1">
        <f t="shared" si="5"/>
        <v>3.5443637512912081</v>
      </c>
      <c r="E49" s="1">
        <f t="shared" si="4"/>
        <v>24.810546259038457</v>
      </c>
    </row>
    <row r="50" spans="1:6" ht="17" x14ac:dyDescent="0.2">
      <c r="B50" s="11" t="s">
        <v>117</v>
      </c>
      <c r="C50" s="342">
        <v>7.018785236884495E-2</v>
      </c>
      <c r="D50" s="1">
        <f t="shared" si="5"/>
        <v>14.037570473768991</v>
      </c>
      <c r="E50" s="1">
        <f t="shared" si="4"/>
        <v>98.262993316382932</v>
      </c>
    </row>
    <row r="51" spans="1:6" ht="17" x14ac:dyDescent="0.2">
      <c r="B51" s="11" t="s">
        <v>119</v>
      </c>
      <c r="C51" s="342">
        <v>9.5944736748873077E-2</v>
      </c>
      <c r="D51" s="1">
        <f t="shared" si="5"/>
        <v>19.188947349774615</v>
      </c>
      <c r="E51" s="1">
        <f t="shared" si="4"/>
        <v>134.3226314484223</v>
      </c>
    </row>
    <row r="52" spans="1:6" ht="17" x14ac:dyDescent="0.2">
      <c r="B52" s="11" t="s">
        <v>121</v>
      </c>
      <c r="C52" s="342">
        <v>0.21388130862220195</v>
      </c>
      <c r="D52" s="1">
        <f t="shared" si="5"/>
        <v>42.776261724440388</v>
      </c>
      <c r="E52" s="1">
        <f t="shared" si="4"/>
        <v>299.43383207108275</v>
      </c>
    </row>
    <row r="53" spans="1:6" ht="17" x14ac:dyDescent="0.2">
      <c r="B53" s="1" t="s">
        <v>124</v>
      </c>
      <c r="C53" s="87">
        <v>1.1705878785865603E-2</v>
      </c>
      <c r="D53" s="1">
        <f t="shared" si="5"/>
        <v>2.3411757571731204</v>
      </c>
      <c r="E53" s="1">
        <f t="shared" si="4"/>
        <v>16.388230300211845</v>
      </c>
    </row>
    <row r="54" spans="1:6" ht="17" x14ac:dyDescent="0.2">
      <c r="B54" s="11" t="s">
        <v>126</v>
      </c>
      <c r="C54" s="87">
        <v>5.4354866820293855E-2</v>
      </c>
      <c r="D54" s="1">
        <f t="shared" si="5"/>
        <v>10.870973364058772</v>
      </c>
      <c r="E54" s="1">
        <f t="shared" si="4"/>
        <v>76.096813548411404</v>
      </c>
    </row>
    <row r="55" spans="1:6" x14ac:dyDescent="0.2">
      <c r="A55" s="9">
        <v>10</v>
      </c>
      <c r="B55" s="11"/>
    </row>
    <row r="56" spans="1:6" s="4" customFormat="1" ht="17" x14ac:dyDescent="0.2">
      <c r="A56" s="12" t="s">
        <v>400</v>
      </c>
      <c r="D56" s="4">
        <v>250</v>
      </c>
      <c r="E56" s="4">
        <f>D56*$E$6</f>
        <v>1750</v>
      </c>
      <c r="F56" s="4">
        <v>153</v>
      </c>
    </row>
    <row r="57" spans="1:6" ht="17" x14ac:dyDescent="0.2">
      <c r="B57" s="1" t="s">
        <v>129</v>
      </c>
      <c r="D57" s="1">
        <v>100</v>
      </c>
      <c r="E57" s="1">
        <f t="shared" ref="E57:E65" si="6">D57*$E$6</f>
        <v>700</v>
      </c>
    </row>
    <row r="58" spans="1:6" ht="17" x14ac:dyDescent="0.2">
      <c r="B58" s="1" t="s">
        <v>132</v>
      </c>
      <c r="D58" s="1">
        <v>80</v>
      </c>
      <c r="E58" s="1">
        <f t="shared" si="6"/>
        <v>560</v>
      </c>
    </row>
    <row r="59" spans="1:6" ht="17" x14ac:dyDescent="0.2">
      <c r="B59" s="1" t="s">
        <v>135</v>
      </c>
      <c r="D59" s="1">
        <v>10</v>
      </c>
      <c r="E59" s="1">
        <f t="shared" si="6"/>
        <v>70</v>
      </c>
    </row>
    <row r="60" spans="1:6" ht="17" x14ac:dyDescent="0.2">
      <c r="B60" s="1" t="s">
        <v>138</v>
      </c>
      <c r="D60" s="1">
        <v>10</v>
      </c>
      <c r="E60" s="1">
        <f t="shared" si="6"/>
        <v>70</v>
      </c>
    </row>
    <row r="61" spans="1:6" ht="19" customHeight="1" x14ac:dyDescent="0.2">
      <c r="B61" s="1" t="s">
        <v>141</v>
      </c>
      <c r="D61" s="1">
        <v>10</v>
      </c>
      <c r="E61" s="1">
        <f t="shared" si="6"/>
        <v>70</v>
      </c>
    </row>
    <row r="62" spans="1:6" ht="17" x14ac:dyDescent="0.2">
      <c r="B62" s="1" t="s">
        <v>144</v>
      </c>
      <c r="D62" s="1">
        <v>10</v>
      </c>
      <c r="E62" s="1">
        <f t="shared" si="6"/>
        <v>70</v>
      </c>
    </row>
    <row r="63" spans="1:6" ht="34" x14ac:dyDescent="0.2">
      <c r="B63" s="1" t="s">
        <v>401</v>
      </c>
      <c r="D63" s="1">
        <v>10</v>
      </c>
      <c r="E63" s="1">
        <f t="shared" si="6"/>
        <v>70</v>
      </c>
    </row>
    <row r="64" spans="1:6" ht="34" x14ac:dyDescent="0.2">
      <c r="B64" s="1" t="s">
        <v>402</v>
      </c>
      <c r="D64" s="1">
        <v>10</v>
      </c>
      <c r="E64" s="1">
        <f t="shared" si="6"/>
        <v>70</v>
      </c>
    </row>
    <row r="65" spans="1:14" ht="17" x14ac:dyDescent="0.2">
      <c r="B65" s="1" t="s">
        <v>403</v>
      </c>
      <c r="D65" s="1">
        <v>10</v>
      </c>
      <c r="E65" s="1">
        <f t="shared" si="6"/>
        <v>70</v>
      </c>
    </row>
    <row r="66" spans="1:14" ht="17" thickBot="1" x14ac:dyDescent="0.25">
      <c r="A66" s="9">
        <v>9</v>
      </c>
      <c r="H66" s="93"/>
      <c r="I66" s="93"/>
      <c r="J66" s="93"/>
      <c r="K66" s="93"/>
      <c r="L66" s="93"/>
      <c r="M66" s="93"/>
    </row>
    <row r="67" spans="1:14" s="4" customFormat="1" ht="17" customHeight="1" x14ac:dyDescent="0.2">
      <c r="A67" s="12" t="s">
        <v>156</v>
      </c>
      <c r="B67" s="12" t="s">
        <v>157</v>
      </c>
      <c r="D67" s="14">
        <f>E67/7</f>
        <v>0.875</v>
      </c>
      <c r="E67" s="14">
        <v>6.125</v>
      </c>
      <c r="F67" s="4">
        <v>15</v>
      </c>
      <c r="G67" s="91"/>
      <c r="H67" s="405" t="s">
        <v>458</v>
      </c>
      <c r="I67" s="406"/>
      <c r="J67" s="406"/>
      <c r="K67" s="406"/>
      <c r="L67" s="406"/>
      <c r="M67" s="407"/>
      <c r="N67" s="92"/>
    </row>
    <row r="68" spans="1:14" ht="17" x14ac:dyDescent="0.2">
      <c r="B68" s="1" t="s">
        <v>158</v>
      </c>
      <c r="D68" s="15">
        <f>E68/7</f>
        <v>0.875</v>
      </c>
      <c r="E68" s="15">
        <v>6.125</v>
      </c>
      <c r="G68" s="86"/>
      <c r="H68" s="410" t="s">
        <v>459</v>
      </c>
      <c r="I68" s="409"/>
      <c r="J68" s="409"/>
      <c r="K68" s="95">
        <f>497-124.25-124.25-124.25-(124.25/2)</f>
        <v>62.125</v>
      </c>
      <c r="L68" s="96"/>
      <c r="M68" s="97"/>
      <c r="N68" s="65"/>
    </row>
    <row r="69" spans="1:14" x14ac:dyDescent="0.2">
      <c r="A69" s="9">
        <v>1</v>
      </c>
      <c r="D69" s="15"/>
      <c r="E69" s="15"/>
      <c r="G69" s="86"/>
      <c r="H69" s="432" t="s">
        <v>460</v>
      </c>
      <c r="I69" s="433"/>
      <c r="J69" s="433"/>
      <c r="K69" s="433"/>
      <c r="L69" s="433"/>
      <c r="M69" s="97"/>
      <c r="N69" s="65"/>
    </row>
    <row r="70" spans="1:14" s="4" customFormat="1" ht="17" x14ac:dyDescent="0.2">
      <c r="A70" s="12"/>
      <c r="B70" s="12" t="s">
        <v>161</v>
      </c>
      <c r="D70" s="14">
        <f>E70/7</f>
        <v>0.875</v>
      </c>
      <c r="E70" s="14">
        <v>6.125</v>
      </c>
      <c r="F70" s="4">
        <v>15</v>
      </c>
      <c r="G70" s="91"/>
      <c r="H70" s="98"/>
      <c r="I70" s="113"/>
      <c r="J70" s="350" t="s">
        <v>461</v>
      </c>
      <c r="K70" s="351" t="s">
        <v>449</v>
      </c>
      <c r="L70" s="96"/>
      <c r="M70" s="97"/>
      <c r="N70" s="92"/>
    </row>
    <row r="71" spans="1:14" ht="17" x14ac:dyDescent="0.2">
      <c r="B71" s="1" t="s">
        <v>162</v>
      </c>
      <c r="D71" s="15">
        <f>E71/7</f>
        <v>0.875</v>
      </c>
      <c r="E71" s="15">
        <v>6.125</v>
      </c>
      <c r="G71" s="86"/>
      <c r="H71" s="98"/>
      <c r="I71" s="113" t="s">
        <v>450</v>
      </c>
      <c r="J71" s="111" t="s">
        <v>451</v>
      </c>
      <c r="K71" s="112">
        <v>60</v>
      </c>
      <c r="L71" s="96"/>
      <c r="M71" s="97"/>
      <c r="N71" s="65"/>
    </row>
    <row r="72" spans="1:14" ht="17" x14ac:dyDescent="0.2">
      <c r="A72" s="9">
        <v>1</v>
      </c>
      <c r="D72" s="15"/>
      <c r="E72" s="15"/>
      <c r="G72" s="86"/>
      <c r="H72" s="98"/>
      <c r="I72" s="113" t="s">
        <v>452</v>
      </c>
      <c r="J72" s="111" t="s">
        <v>411</v>
      </c>
      <c r="K72" s="112">
        <v>50</v>
      </c>
      <c r="L72" s="96"/>
      <c r="M72" s="97"/>
      <c r="N72" s="65"/>
    </row>
    <row r="73" spans="1:14" s="4" customFormat="1" ht="17" x14ac:dyDescent="0.2">
      <c r="A73" s="12"/>
      <c r="B73" s="12" t="s">
        <v>165</v>
      </c>
      <c r="D73" s="14">
        <f>E73/7</f>
        <v>3.625</v>
      </c>
      <c r="E73" s="14">
        <v>25.375</v>
      </c>
      <c r="F73" s="4">
        <v>62</v>
      </c>
      <c r="G73" s="91"/>
      <c r="H73" s="98"/>
      <c r="I73" s="113" t="s">
        <v>462</v>
      </c>
      <c r="J73" s="111" t="s">
        <v>451</v>
      </c>
      <c r="K73" s="112">
        <v>60</v>
      </c>
      <c r="L73" s="96"/>
      <c r="M73" s="97"/>
      <c r="N73" s="92"/>
    </row>
    <row r="74" spans="1:14" ht="17" x14ac:dyDescent="0.2">
      <c r="B74" s="1" t="s">
        <v>166</v>
      </c>
      <c r="D74" s="15">
        <f>E74/7</f>
        <v>3.625</v>
      </c>
      <c r="E74" s="15">
        <v>25.375</v>
      </c>
      <c r="G74" s="86"/>
      <c r="H74" s="98"/>
      <c r="I74" s="113" t="s">
        <v>463</v>
      </c>
      <c r="J74" s="111" t="s">
        <v>411</v>
      </c>
      <c r="K74" s="112">
        <v>25</v>
      </c>
      <c r="L74" s="285"/>
      <c r="M74" s="97"/>
      <c r="N74" s="65"/>
    </row>
    <row r="75" spans="1:14" ht="17" customHeight="1" x14ac:dyDescent="0.2">
      <c r="A75" s="9">
        <v>1</v>
      </c>
      <c r="D75" s="15"/>
      <c r="E75" s="15"/>
      <c r="G75" s="86"/>
      <c r="H75" s="98"/>
      <c r="I75" s="96"/>
      <c r="J75" s="96"/>
      <c r="K75" s="96"/>
      <c r="L75" s="96"/>
      <c r="M75" s="97"/>
      <c r="N75" s="65"/>
    </row>
    <row r="76" spans="1:14" s="4" customFormat="1" ht="17" x14ac:dyDescent="0.2">
      <c r="A76" s="12"/>
      <c r="B76" s="12" t="s">
        <v>169</v>
      </c>
      <c r="D76" s="4">
        <v>13</v>
      </c>
      <c r="E76" s="4">
        <f>D76*E6</f>
        <v>91</v>
      </c>
      <c r="F76" s="4">
        <v>19</v>
      </c>
      <c r="G76" s="91"/>
      <c r="H76" s="98"/>
      <c r="I76" s="411" t="s">
        <v>406</v>
      </c>
      <c r="J76" s="411"/>
      <c r="K76" s="411"/>
      <c r="L76" s="286"/>
      <c r="M76" s="97"/>
      <c r="N76" s="92"/>
    </row>
    <row r="77" spans="1:14" ht="18" customHeight="1" x14ac:dyDescent="0.2">
      <c r="A77" s="1"/>
      <c r="B77" s="1" t="s">
        <v>170</v>
      </c>
      <c r="D77" s="1">
        <v>13</v>
      </c>
      <c r="E77" s="1">
        <v>91</v>
      </c>
      <c r="G77" s="86"/>
      <c r="H77" s="98"/>
      <c r="I77" s="441" t="s">
        <v>407</v>
      </c>
      <c r="J77" s="442"/>
      <c r="K77" s="106" t="s">
        <v>408</v>
      </c>
      <c r="L77" s="286"/>
      <c r="M77" s="97"/>
      <c r="N77" s="65"/>
    </row>
    <row r="78" spans="1:14" ht="17" x14ac:dyDescent="0.2">
      <c r="A78" s="9">
        <v>1</v>
      </c>
      <c r="D78" s="15"/>
      <c r="E78" s="15"/>
      <c r="G78" s="86"/>
      <c r="H78" s="98"/>
      <c r="I78" s="109" t="s">
        <v>157</v>
      </c>
      <c r="J78" s="107">
        <f>49</f>
        <v>49</v>
      </c>
      <c r="K78" s="96">
        <f>J78/J82*100</f>
        <v>9.8591549295774641</v>
      </c>
      <c r="L78" s="286"/>
      <c r="M78" s="97"/>
      <c r="N78" s="65"/>
    </row>
    <row r="79" spans="1:14" s="4" customFormat="1" ht="17" x14ac:dyDescent="0.2">
      <c r="A79" s="12"/>
      <c r="B79" s="12" t="s">
        <v>409</v>
      </c>
      <c r="D79" s="14">
        <f>E79/7</f>
        <v>3.5</v>
      </c>
      <c r="E79" s="14">
        <v>24.5</v>
      </c>
      <c r="F79" s="4">
        <v>40</v>
      </c>
      <c r="G79" s="91"/>
      <c r="H79" s="98"/>
      <c r="I79" s="110" t="s">
        <v>161</v>
      </c>
      <c r="J79" s="108">
        <f>49</f>
        <v>49</v>
      </c>
      <c r="K79" s="96">
        <f>J79/J82*100</f>
        <v>9.8591549295774641</v>
      </c>
      <c r="L79" s="96"/>
      <c r="M79" s="97"/>
      <c r="N79" s="92"/>
    </row>
    <row r="80" spans="1:14" ht="17" x14ac:dyDescent="0.2">
      <c r="B80" s="1" t="s">
        <v>174</v>
      </c>
      <c r="D80" s="15">
        <f>D79/3</f>
        <v>1.1666666666666667</v>
      </c>
      <c r="E80" s="15">
        <f>D80*7</f>
        <v>8.1666666666666679</v>
      </c>
      <c r="G80" s="86"/>
      <c r="H80" s="98"/>
      <c r="I80" s="110" t="s">
        <v>165</v>
      </c>
      <c r="J80" s="108">
        <v>203</v>
      </c>
      <c r="K80" s="96">
        <f>J80/J82*100</f>
        <v>40.845070422535215</v>
      </c>
      <c r="L80" s="287"/>
      <c r="M80" s="97"/>
      <c r="N80" s="65"/>
    </row>
    <row r="81" spans="1:14" ht="17" x14ac:dyDescent="0.2">
      <c r="B81" s="1" t="s">
        <v>177</v>
      </c>
      <c r="D81" s="15">
        <f>D79/3</f>
        <v>1.1666666666666667</v>
      </c>
      <c r="E81" s="15">
        <f>D81*7</f>
        <v>8.1666666666666679</v>
      </c>
      <c r="G81" s="86"/>
      <c r="H81" s="98"/>
      <c r="I81" s="110" t="s">
        <v>409</v>
      </c>
      <c r="J81" s="108">
        <f>196</f>
        <v>196</v>
      </c>
      <c r="K81" s="96">
        <f>J81/J82*100</f>
        <v>39.436619718309856</v>
      </c>
      <c r="L81" s="96"/>
      <c r="M81" s="97"/>
      <c r="N81" s="65"/>
    </row>
    <row r="82" spans="1:14" ht="17" customHeight="1" x14ac:dyDescent="0.2">
      <c r="B82" s="1" t="s">
        <v>179</v>
      </c>
      <c r="D82" s="15">
        <f>D79/3</f>
        <v>1.1666666666666667</v>
      </c>
      <c r="E82" s="15">
        <f>D82*7</f>
        <v>8.1666666666666679</v>
      </c>
      <c r="G82" s="86"/>
      <c r="H82" s="98"/>
      <c r="I82" s="291" t="s">
        <v>410</v>
      </c>
      <c r="J82" s="107">
        <f>SUM(J78:J81)</f>
        <v>497</v>
      </c>
      <c r="K82" s="289">
        <f>SUM(K78:K81)</f>
        <v>100</v>
      </c>
      <c r="L82" s="96"/>
      <c r="M82" s="97"/>
      <c r="N82" s="65"/>
    </row>
    <row r="83" spans="1:14" ht="17" customHeight="1" x14ac:dyDescent="0.2">
      <c r="A83" s="9">
        <v>3</v>
      </c>
      <c r="D83" s="15"/>
      <c r="E83" s="15"/>
      <c r="G83" s="86"/>
      <c r="H83" s="98"/>
      <c r="I83" s="96"/>
      <c r="J83" s="96"/>
      <c r="K83" s="96"/>
      <c r="L83" s="96"/>
      <c r="M83" s="97"/>
      <c r="N83" s="65"/>
    </row>
    <row r="84" spans="1:14" s="4" customFormat="1" ht="19" customHeight="1" x14ac:dyDescent="0.2">
      <c r="A84" s="12"/>
      <c r="B84" s="12" t="s">
        <v>411</v>
      </c>
      <c r="D84" s="14">
        <f>E84/7</f>
        <v>60.714285714285715</v>
      </c>
      <c r="E84" s="14">
        <f>350+50+25</f>
        <v>425</v>
      </c>
      <c r="F84" s="4">
        <v>172</v>
      </c>
      <c r="G84" s="91"/>
      <c r="H84" s="98"/>
      <c r="I84" s="411" t="s">
        <v>464</v>
      </c>
      <c r="J84" s="411"/>
      <c r="K84" s="411"/>
      <c r="L84" s="96"/>
      <c r="M84" s="97"/>
      <c r="N84" s="92"/>
    </row>
    <row r="85" spans="1:14" ht="19" customHeight="1" x14ac:dyDescent="0.2">
      <c r="B85" s="1" t="s">
        <v>183</v>
      </c>
      <c r="D85" s="15">
        <f t="shared" ref="D85:D90" si="7">$D$84/6</f>
        <v>10.119047619047619</v>
      </c>
      <c r="E85" s="15">
        <f t="shared" ref="E85:E90" si="8">D85*$E$6</f>
        <v>70.833333333333329</v>
      </c>
      <c r="G85" s="86"/>
      <c r="H85" s="98"/>
      <c r="I85" s="408" t="s">
        <v>407</v>
      </c>
      <c r="J85" s="443"/>
      <c r="K85" s="106" t="s">
        <v>408</v>
      </c>
      <c r="L85" s="96"/>
      <c r="M85" s="97"/>
      <c r="N85" s="65"/>
    </row>
    <row r="86" spans="1:14" ht="17" x14ac:dyDescent="0.2">
      <c r="B86" s="1" t="s">
        <v>186</v>
      </c>
      <c r="D86" s="15">
        <f t="shared" si="7"/>
        <v>10.119047619047619</v>
      </c>
      <c r="E86" s="15">
        <f t="shared" si="8"/>
        <v>70.833333333333329</v>
      </c>
      <c r="G86" s="86"/>
      <c r="H86" s="98"/>
      <c r="I86" s="109" t="s">
        <v>157</v>
      </c>
      <c r="J86" s="107">
        <f>J90*K86/100</f>
        <v>6.125</v>
      </c>
      <c r="K86" s="96">
        <v>9.8591549295774641</v>
      </c>
      <c r="L86" s="96"/>
      <c r="M86" s="97"/>
      <c r="N86" s="65"/>
    </row>
    <row r="87" spans="1:14" ht="17" x14ac:dyDescent="0.2">
      <c r="B87" s="1" t="s">
        <v>189</v>
      </c>
      <c r="D87" s="15">
        <f t="shared" si="7"/>
        <v>10.119047619047619</v>
      </c>
      <c r="E87" s="15">
        <f t="shared" si="8"/>
        <v>70.833333333333329</v>
      </c>
      <c r="G87" s="86"/>
      <c r="H87" s="98"/>
      <c r="I87" s="110" t="s">
        <v>161</v>
      </c>
      <c r="J87" s="108">
        <f>J90*K87/100</f>
        <v>6.125</v>
      </c>
      <c r="K87" s="96">
        <v>9.8591549295774641</v>
      </c>
      <c r="L87" s="96"/>
      <c r="M87" s="97"/>
      <c r="N87" s="65"/>
    </row>
    <row r="88" spans="1:14" ht="17" x14ac:dyDescent="0.2">
      <c r="B88" s="1" t="s">
        <v>192</v>
      </c>
      <c r="D88" s="15">
        <f t="shared" si="7"/>
        <v>10.119047619047619</v>
      </c>
      <c r="E88" s="15">
        <f t="shared" si="8"/>
        <v>70.833333333333329</v>
      </c>
      <c r="G88" s="86"/>
      <c r="H88" s="98"/>
      <c r="I88" s="110" t="s">
        <v>165</v>
      </c>
      <c r="J88" s="108">
        <f>J90*K88/100</f>
        <v>25.375000000000004</v>
      </c>
      <c r="K88" s="96">
        <v>40.845070422535215</v>
      </c>
      <c r="L88" s="96"/>
      <c r="M88" s="97"/>
      <c r="N88" s="65"/>
    </row>
    <row r="89" spans="1:14" ht="17" x14ac:dyDescent="0.2">
      <c r="B89" s="1" t="s">
        <v>622</v>
      </c>
      <c r="D89" s="15">
        <f t="shared" si="7"/>
        <v>10.119047619047619</v>
      </c>
      <c r="E89" s="15">
        <f t="shared" si="8"/>
        <v>70.833333333333329</v>
      </c>
      <c r="G89" s="86"/>
      <c r="H89" s="98"/>
      <c r="I89" s="110" t="s">
        <v>409</v>
      </c>
      <c r="J89" s="108">
        <f>J90*K89/100</f>
        <v>24.5</v>
      </c>
      <c r="K89" s="96">
        <v>39.436619718309856</v>
      </c>
      <c r="L89" s="96"/>
      <c r="M89" s="97"/>
      <c r="N89" s="65"/>
    </row>
    <row r="90" spans="1:14" ht="17" x14ac:dyDescent="0.2">
      <c r="A90" s="1"/>
      <c r="B90" s="1" t="s">
        <v>623</v>
      </c>
      <c r="D90" s="15">
        <f t="shared" si="7"/>
        <v>10.119047619047619</v>
      </c>
      <c r="E90" s="15">
        <f t="shared" si="8"/>
        <v>70.833333333333329</v>
      </c>
      <c r="G90" s="86"/>
      <c r="H90" s="98"/>
      <c r="I90" s="109" t="s">
        <v>410</v>
      </c>
      <c r="J90" s="292">
        <v>62.125</v>
      </c>
      <c r="K90" s="289">
        <v>100</v>
      </c>
      <c r="L90" s="96"/>
      <c r="M90" s="97"/>
      <c r="N90" s="65"/>
    </row>
    <row r="91" spans="1:14" ht="17" thickBot="1" x14ac:dyDescent="0.25">
      <c r="A91" s="9">
        <v>6</v>
      </c>
      <c r="D91" s="15"/>
      <c r="E91" s="15"/>
      <c r="G91" s="86"/>
      <c r="H91" s="105"/>
      <c r="I91" s="99"/>
      <c r="J91" s="99"/>
      <c r="K91" s="99"/>
      <c r="L91" s="99"/>
      <c r="M91" s="100"/>
      <c r="N91" s="65"/>
    </row>
    <row r="92" spans="1:14" s="4" customFormat="1" ht="17" x14ac:dyDescent="0.2">
      <c r="A92" s="12"/>
      <c r="B92" s="12" t="s">
        <v>200</v>
      </c>
      <c r="D92" s="14">
        <f>E92/7</f>
        <v>42.142857142857146</v>
      </c>
      <c r="E92" s="14">
        <f>175+60+60</f>
        <v>295</v>
      </c>
      <c r="F92" s="4">
        <v>112</v>
      </c>
      <c r="H92" s="193"/>
      <c r="I92" s="193"/>
      <c r="J92" s="193"/>
      <c r="K92" s="193"/>
      <c r="L92" s="193"/>
      <c r="M92" s="193"/>
    </row>
    <row r="93" spans="1:14" ht="17" x14ac:dyDescent="0.2">
      <c r="B93" s="1" t="s">
        <v>201</v>
      </c>
      <c r="D93" s="15">
        <f>D92/2</f>
        <v>21.071428571428573</v>
      </c>
      <c r="E93" s="15">
        <f>D93*7</f>
        <v>147.5</v>
      </c>
    </row>
    <row r="94" spans="1:14" ht="17" x14ac:dyDescent="0.2">
      <c r="B94" s="1" t="s">
        <v>203</v>
      </c>
      <c r="D94" s="15">
        <f>D92/2</f>
        <v>21.071428571428573</v>
      </c>
      <c r="E94" s="15">
        <f>D94*7</f>
        <v>147.5</v>
      </c>
    </row>
    <row r="95" spans="1:14" x14ac:dyDescent="0.2">
      <c r="A95" s="9">
        <v>2</v>
      </c>
    </row>
    <row r="96" spans="1:14" s="4" customFormat="1" ht="17" x14ac:dyDescent="0.2">
      <c r="A96" s="12"/>
      <c r="B96" s="12" t="s">
        <v>205</v>
      </c>
    </row>
    <row r="97" spans="1:6" s="4" customFormat="1" ht="17" x14ac:dyDescent="0.2">
      <c r="A97" s="12"/>
      <c r="B97" s="12" t="s">
        <v>206</v>
      </c>
      <c r="F97" s="4">
        <v>142</v>
      </c>
    </row>
    <row r="98" spans="1:6" ht="17" x14ac:dyDescent="0.2">
      <c r="A98" s="1"/>
      <c r="B98" s="1" t="s">
        <v>207</v>
      </c>
      <c r="D98" s="1">
        <v>25</v>
      </c>
      <c r="E98" s="1">
        <f>D98*E6</f>
        <v>175</v>
      </c>
    </row>
    <row r="99" spans="1:6" x14ac:dyDescent="0.2">
      <c r="A99" s="9">
        <v>1</v>
      </c>
    </row>
    <row r="100" spans="1:6" s="4" customFormat="1" ht="17" x14ac:dyDescent="0.2">
      <c r="A100" s="12"/>
      <c r="B100" s="12" t="s">
        <v>412</v>
      </c>
      <c r="D100" s="4">
        <v>25</v>
      </c>
      <c r="E100" s="8">
        <f>D100*7</f>
        <v>175</v>
      </c>
      <c r="F100" s="8">
        <v>149</v>
      </c>
    </row>
    <row r="101" spans="1:6" ht="17" x14ac:dyDescent="0.2">
      <c r="B101" s="1" t="s">
        <v>210</v>
      </c>
      <c r="D101" s="7">
        <f>D100/2</f>
        <v>12.5</v>
      </c>
      <c r="E101" s="1">
        <f>D101*7</f>
        <v>87.5</v>
      </c>
    </row>
    <row r="102" spans="1:6" ht="17" x14ac:dyDescent="0.2">
      <c r="B102" s="1" t="s">
        <v>213</v>
      </c>
      <c r="D102" s="7">
        <f>D100/2</f>
        <v>12.5</v>
      </c>
      <c r="E102" s="1">
        <f>D102*7</f>
        <v>87.5</v>
      </c>
      <c r="F102" s="7"/>
    </row>
    <row r="103" spans="1:6" x14ac:dyDescent="0.2">
      <c r="A103" s="9">
        <v>2</v>
      </c>
      <c r="D103" s="7"/>
      <c r="E103" s="7"/>
      <c r="F103" s="7"/>
    </row>
    <row r="104" spans="1:6" s="4" customFormat="1" ht="17" customHeight="1" x14ac:dyDescent="0.2">
      <c r="A104" s="12" t="s">
        <v>413</v>
      </c>
      <c r="D104" s="8"/>
      <c r="E104" s="8"/>
      <c r="F104" s="8">
        <v>60</v>
      </c>
    </row>
    <row r="105" spans="1:6" ht="17" x14ac:dyDescent="0.2">
      <c r="B105" s="1" t="s">
        <v>216</v>
      </c>
      <c r="D105" s="7">
        <v>6.8</v>
      </c>
      <c r="E105" s="7">
        <f>D105*7</f>
        <v>47.6</v>
      </c>
    </row>
    <row r="106" spans="1:6" x14ac:dyDescent="0.2">
      <c r="A106" s="9">
        <v>1</v>
      </c>
      <c r="F106" s="7"/>
    </row>
    <row r="107" spans="1:6" s="4" customFormat="1" ht="17" x14ac:dyDescent="0.2">
      <c r="A107" s="12"/>
      <c r="B107" s="12" t="s">
        <v>219</v>
      </c>
      <c r="D107" s="8">
        <v>40</v>
      </c>
      <c r="E107" s="8">
        <f>D107*7</f>
        <v>280</v>
      </c>
      <c r="F107" s="8">
        <v>354</v>
      </c>
    </row>
    <row r="108" spans="1:6" ht="17" x14ac:dyDescent="0.2">
      <c r="B108" s="1" t="s">
        <v>220</v>
      </c>
      <c r="D108" s="1">
        <f>$D$107/3</f>
        <v>13.333333333333334</v>
      </c>
      <c r="E108" s="1">
        <f>D108*7</f>
        <v>93.333333333333343</v>
      </c>
    </row>
    <row r="109" spans="1:6" ht="17" x14ac:dyDescent="0.2">
      <c r="A109" s="1"/>
      <c r="B109" s="1" t="s">
        <v>226</v>
      </c>
      <c r="D109" s="1">
        <f>$D$107/3</f>
        <v>13.333333333333334</v>
      </c>
      <c r="E109" s="1">
        <f>D109*7</f>
        <v>93.333333333333343</v>
      </c>
      <c r="F109" s="7"/>
    </row>
    <row r="110" spans="1:6" ht="17" x14ac:dyDescent="0.2">
      <c r="A110" s="1"/>
      <c r="B110" s="1" t="s">
        <v>223</v>
      </c>
      <c r="D110" s="1">
        <f>$D$107/3</f>
        <v>13.333333333333334</v>
      </c>
      <c r="E110" s="1">
        <f>D110*7</f>
        <v>93.333333333333343</v>
      </c>
      <c r="F110" s="7"/>
    </row>
    <row r="111" spans="1:6" x14ac:dyDescent="0.2">
      <c r="A111" s="9">
        <v>3</v>
      </c>
      <c r="F111" s="7"/>
    </row>
    <row r="112" spans="1:6" s="4" customFormat="1" ht="17" x14ac:dyDescent="0.2">
      <c r="A112" s="12"/>
      <c r="B112" s="12" t="s">
        <v>229</v>
      </c>
      <c r="D112" s="8"/>
      <c r="E112" s="8"/>
      <c r="F112" s="8">
        <v>36</v>
      </c>
    </row>
    <row r="113" spans="1:6" ht="17" x14ac:dyDescent="0.2">
      <c r="B113" s="1" t="s">
        <v>230</v>
      </c>
      <c r="D113" s="7">
        <v>5</v>
      </c>
      <c r="E113" s="7">
        <f>D113*7</f>
        <v>35</v>
      </c>
    </row>
    <row r="114" spans="1:6" x14ac:dyDescent="0.2">
      <c r="A114" s="9">
        <v>1</v>
      </c>
      <c r="D114" s="7"/>
      <c r="E114" s="7"/>
      <c r="F114" s="7"/>
    </row>
    <row r="115" spans="1:6" s="4" customFormat="1" ht="17" x14ac:dyDescent="0.2">
      <c r="A115" s="12" t="s">
        <v>414</v>
      </c>
      <c r="D115" s="4">
        <f>31</f>
        <v>31</v>
      </c>
      <c r="E115" s="4">
        <f>D115*E6</f>
        <v>217</v>
      </c>
      <c r="F115" s="4">
        <v>120</v>
      </c>
    </row>
    <row r="116" spans="1:6" ht="17" x14ac:dyDescent="0.2">
      <c r="A116" s="20"/>
      <c r="B116" s="1" t="s">
        <v>234</v>
      </c>
      <c r="D116" s="1">
        <f>31/3</f>
        <v>10.333333333333334</v>
      </c>
      <c r="E116" s="1">
        <f>D116*7</f>
        <v>72.333333333333343</v>
      </c>
    </row>
    <row r="117" spans="1:6" ht="17" x14ac:dyDescent="0.2">
      <c r="B117" s="1" t="s">
        <v>237</v>
      </c>
      <c r="D117" s="1">
        <f>31/3</f>
        <v>10.333333333333334</v>
      </c>
      <c r="E117" s="1">
        <f>D117*7</f>
        <v>72.333333333333343</v>
      </c>
    </row>
    <row r="118" spans="1:6" ht="17" x14ac:dyDescent="0.2">
      <c r="B118" s="252" t="s">
        <v>240</v>
      </c>
      <c r="D118" s="1">
        <f>31/3</f>
        <v>10.333333333333334</v>
      </c>
      <c r="E118" s="1">
        <f>D118*7</f>
        <v>72.333333333333343</v>
      </c>
    </row>
    <row r="119" spans="1:6" x14ac:dyDescent="0.2">
      <c r="A119" s="9">
        <v>3</v>
      </c>
      <c r="B119" s="15"/>
    </row>
    <row r="120" spans="1:6" s="4" customFormat="1" ht="17" x14ac:dyDescent="0.2">
      <c r="A120" s="12" t="s">
        <v>613</v>
      </c>
      <c r="D120" s="4">
        <v>1500</v>
      </c>
      <c r="E120" s="4">
        <f>D120*E6</f>
        <v>10500</v>
      </c>
    </row>
    <row r="121" spans="1:6" ht="17" x14ac:dyDescent="0.2">
      <c r="B121" s="1" t="s">
        <v>415</v>
      </c>
      <c r="D121" s="1">
        <v>1100</v>
      </c>
      <c r="E121" s="1">
        <f>D121*7</f>
        <v>7700</v>
      </c>
    </row>
    <row r="122" spans="1:6" ht="17" x14ac:dyDescent="0.2">
      <c r="B122" s="1" t="s">
        <v>416</v>
      </c>
      <c r="D122" s="1">
        <v>200</v>
      </c>
      <c r="E122" s="1">
        <f>D122*7</f>
        <v>1400</v>
      </c>
    </row>
    <row r="123" spans="1:6" ht="17" x14ac:dyDescent="0.2">
      <c r="B123" s="1" t="s">
        <v>417</v>
      </c>
      <c r="D123" s="1">
        <v>200</v>
      </c>
      <c r="E123" s="1">
        <f>D123*7</f>
        <v>1400</v>
      </c>
    </row>
    <row r="124" spans="1:6" ht="17" x14ac:dyDescent="0.2">
      <c r="B124" s="1" t="s">
        <v>439</v>
      </c>
      <c r="D124" s="1">
        <f>E124/7</f>
        <v>47.142857142857146</v>
      </c>
      <c r="E124" s="1">
        <v>330</v>
      </c>
    </row>
    <row r="125" spans="1:6" ht="17" x14ac:dyDescent="0.2">
      <c r="B125" s="1" t="s">
        <v>440</v>
      </c>
      <c r="D125" s="1">
        <f>E125/7</f>
        <v>35.714285714285715</v>
      </c>
      <c r="E125" s="1">
        <v>250</v>
      </c>
    </row>
    <row r="126" spans="1:6" x14ac:dyDescent="0.2">
      <c r="A126" s="9">
        <v>5</v>
      </c>
    </row>
    <row r="127" spans="1:6" s="4" customFormat="1" ht="17" x14ac:dyDescent="0.2">
      <c r="A127" s="12" t="s">
        <v>614</v>
      </c>
      <c r="D127" s="4">
        <v>1500</v>
      </c>
      <c r="E127" s="4">
        <f>D127*E6</f>
        <v>10500</v>
      </c>
    </row>
    <row r="128" spans="1:6" ht="17" x14ac:dyDescent="0.2">
      <c r="B128" s="1" t="s">
        <v>415</v>
      </c>
      <c r="D128" s="1">
        <f>D127-D129</f>
        <v>1100</v>
      </c>
      <c r="E128" s="1">
        <f>D128*E6</f>
        <v>7700</v>
      </c>
    </row>
    <row r="129" spans="1:6" ht="17" x14ac:dyDescent="0.2">
      <c r="B129" s="1" t="s">
        <v>419</v>
      </c>
      <c r="D129" s="1">
        <f>200*2</f>
        <v>400</v>
      </c>
      <c r="E129" s="1">
        <f>D129*E6</f>
        <v>2800</v>
      </c>
    </row>
    <row r="130" spans="1:6" ht="17" x14ac:dyDescent="0.2">
      <c r="B130" s="1" t="s">
        <v>420</v>
      </c>
      <c r="D130" s="1">
        <f>E130/7</f>
        <v>28.571428571428573</v>
      </c>
      <c r="E130" s="1">
        <v>200</v>
      </c>
    </row>
    <row r="131" spans="1:6" ht="17" x14ac:dyDescent="0.2">
      <c r="B131" s="1" t="s">
        <v>421</v>
      </c>
      <c r="D131" s="1">
        <f>E131/7</f>
        <v>28.571428571428573</v>
      </c>
      <c r="E131" s="1">
        <v>200</v>
      </c>
    </row>
    <row r="132" spans="1:6" x14ac:dyDescent="0.2">
      <c r="A132" s="9">
        <v>4</v>
      </c>
    </row>
    <row r="133" spans="1:6" s="4" customFormat="1" ht="16" customHeight="1" x14ac:dyDescent="0.2">
      <c r="A133" s="12" t="s">
        <v>422</v>
      </c>
      <c r="F133" s="12" t="s">
        <v>423</v>
      </c>
    </row>
    <row r="134" spans="1:6" x14ac:dyDescent="0.2">
      <c r="A134" s="273">
        <f>A126+A119+A114+A106+A103+A99+A95+A91+A83+A78+A75+A72+A69+A66+A55+A43+A36+A16+A13+A28+A111</f>
        <v>75</v>
      </c>
      <c r="D134" s="9"/>
      <c r="E134" s="9"/>
      <c r="F134" s="1">
        <f>F115+F112+F107+F104+F100+F97+F92+F84+F79+F76+F73+F70+F67+F56+F44+F37+F29+F19+F14+F7</f>
        <v>2503</v>
      </c>
    </row>
    <row r="136" spans="1:6" s="4" customFormat="1" ht="17" x14ac:dyDescent="0.2">
      <c r="A136" s="12" t="s">
        <v>424</v>
      </c>
    </row>
    <row r="137" spans="1:6" x14ac:dyDescent="0.2">
      <c r="A137" s="9">
        <f>A119+A114+A106+A103+A99+A95+A91+A83+A78+A75+A72+A69+A66+A55+A43+A36+A16+A13+A28+A111+A132</f>
        <v>74</v>
      </c>
    </row>
    <row r="138" spans="1:6" x14ac:dyDescent="0.2">
      <c r="B138" s="256"/>
      <c r="C138" s="256"/>
      <c r="D138" s="257"/>
    </row>
    <row r="140" spans="1:6" x14ac:dyDescent="0.2">
      <c r="A140" s="438" t="s">
        <v>454</v>
      </c>
      <c r="B140" s="439"/>
      <c r="C140" s="440"/>
    </row>
  </sheetData>
  <mergeCells count="15">
    <mergeCell ref="A140:C140"/>
    <mergeCell ref="A1:F1"/>
    <mergeCell ref="I77:J77"/>
    <mergeCell ref="I84:K84"/>
    <mergeCell ref="I85:J85"/>
    <mergeCell ref="H68:J68"/>
    <mergeCell ref="H69:L69"/>
    <mergeCell ref="I76:K76"/>
    <mergeCell ref="K5:L5"/>
    <mergeCell ref="H67:M67"/>
    <mergeCell ref="M5:N5"/>
    <mergeCell ref="G5:H5"/>
    <mergeCell ref="I5:J5"/>
    <mergeCell ref="A2:F2"/>
    <mergeCell ref="A3:F3"/>
  </mergeCells>
  <pageMargins left="0.7" right="0.7" top="0.78740157499999996" bottom="0.78740157499999996" header="0.3" footer="0.3"/>
  <pageSetup paperSize="9" scale="33"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20317-C4C9-F04E-B2B3-77E124E65C98}">
  <sheetPr codeName="Tabelle24">
    <tabColor theme="5" tint="0.79998168889431442"/>
    <pageSetUpPr fitToPage="1"/>
  </sheetPr>
  <dimension ref="A1:S136"/>
  <sheetViews>
    <sheetView topLeftCell="D1" zoomScale="75" zoomScaleNormal="80" workbookViewId="0">
      <pane ySplit="9" topLeftCell="A107" activePane="bottomLeft" state="frozen"/>
      <selection activeCell="D1" sqref="D1"/>
      <selection pane="bottomLeft" activeCell="N126" sqref="N126"/>
    </sheetView>
  </sheetViews>
  <sheetFormatPr baseColWidth="10" defaultColWidth="10.83203125" defaultRowHeight="16" x14ac:dyDescent="0.2"/>
  <cols>
    <col min="1" max="1" width="26.33203125" style="9" customWidth="1"/>
    <col min="2" max="2" width="29.6640625" style="1" customWidth="1"/>
    <col min="3" max="3" width="11.33203125" style="1" customWidth="1"/>
    <col min="4" max="4" width="19.33203125" style="1" customWidth="1"/>
    <col min="5" max="5" width="21.5" style="1" customWidth="1"/>
    <col min="6" max="6" width="15.1640625" style="1" customWidth="1"/>
    <col min="7" max="7" width="16" style="1" customWidth="1"/>
    <col min="8" max="8" width="16.5" style="1" customWidth="1"/>
    <col min="9" max="10" width="15.5" style="1" customWidth="1"/>
    <col min="11" max="11" width="16.33203125" style="1" customWidth="1"/>
    <col min="12" max="12" width="15.6640625" style="1" customWidth="1"/>
    <col min="13" max="13" width="15.33203125" style="1" customWidth="1"/>
    <col min="14" max="14" width="17" style="1" customWidth="1"/>
    <col min="15" max="15" width="10.83203125" style="1"/>
    <col min="16" max="16" width="12.83203125" style="1" customWidth="1"/>
    <col min="17" max="17" width="16.83203125" style="1" customWidth="1"/>
    <col min="18" max="16384" width="10.83203125" style="1"/>
  </cols>
  <sheetData>
    <row r="1" spans="1:17" ht="19" customHeight="1" x14ac:dyDescent="0.2">
      <c r="A1" s="420" t="s">
        <v>633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20" customHeight="1" x14ac:dyDescent="0.2">
      <c r="A2" s="420" t="s">
        <v>425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x14ac:dyDescent="0.2">
      <c r="A3" s="125"/>
      <c r="B3" s="126"/>
      <c r="C3" s="126"/>
      <c r="D3" s="126"/>
      <c r="E3" s="126"/>
      <c r="F3" s="13"/>
    </row>
    <row r="4" spans="1:17" x14ac:dyDescent="0.2">
      <c r="A4" s="430" t="s">
        <v>426</v>
      </c>
      <c r="B4" s="431"/>
      <c r="C4" s="9">
        <f>2000/2500</f>
        <v>0.8</v>
      </c>
      <c r="D4" s="114"/>
      <c r="E4" s="90"/>
      <c r="F4" s="13"/>
    </row>
    <row r="5" spans="1:17" x14ac:dyDescent="0.2">
      <c r="B5" s="9"/>
      <c r="C5" s="9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x14ac:dyDescent="0.2">
      <c r="B6" s="9"/>
      <c r="C6" s="9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B7" s="9"/>
      <c r="C7" s="9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456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185.60000000000002</v>
      </c>
      <c r="E11" s="4">
        <f>D11*$E$10</f>
        <v>1299.2000000000003</v>
      </c>
      <c r="F11" s="4">
        <f>811*C4</f>
        <v>648.80000000000007</v>
      </c>
    </row>
    <row r="12" spans="1:17" ht="19" customHeight="1" x14ac:dyDescent="0.2">
      <c r="B12" s="1" t="s">
        <v>24</v>
      </c>
      <c r="D12" s="1">
        <f>30*C4</f>
        <v>24</v>
      </c>
      <c r="E12" s="1">
        <f t="shared" ref="E12:E16" si="0">D12*$E$10</f>
        <v>168</v>
      </c>
      <c r="G12" s="31">
        <f>'Price list REWE '!E9</f>
        <v>2.89</v>
      </c>
      <c r="H12" s="31">
        <f>G12/1000*D12</f>
        <v>6.9360000000000005E-2</v>
      </c>
      <c r="J12" s="42">
        <f>'Price list REWE '!H9</f>
        <v>2.89</v>
      </c>
      <c r="K12" s="42">
        <f>J12/1000*D12</f>
        <v>6.9360000000000005E-2</v>
      </c>
      <c r="M12" s="31">
        <f>'Price list ALDI Süd'!E9</f>
        <v>2.89</v>
      </c>
      <c r="N12" s="31">
        <f>M12/1000*D12</f>
        <v>6.9360000000000005E-2</v>
      </c>
      <c r="P12" s="42">
        <f>'Price list ALDI Süd'!H9</f>
        <v>2.89</v>
      </c>
      <c r="Q12" s="42">
        <f>P12/1000*D12</f>
        <v>6.9360000000000005E-2</v>
      </c>
    </row>
    <row r="13" spans="1:17" ht="17" x14ac:dyDescent="0.2">
      <c r="B13" s="1" t="s">
        <v>27</v>
      </c>
      <c r="D13" s="1">
        <f>50*C4</f>
        <v>40</v>
      </c>
      <c r="E13" s="1">
        <f t="shared" si="0"/>
        <v>280</v>
      </c>
      <c r="G13" s="31">
        <f>'Price list REWE '!E10</f>
        <v>1.58</v>
      </c>
      <c r="H13" s="31">
        <f>G13/1000*D13</f>
        <v>6.3200000000000006E-2</v>
      </c>
      <c r="J13" s="42">
        <f>'Price list REWE '!H10</f>
        <v>4.38</v>
      </c>
      <c r="K13" s="42">
        <f>J13/1000*D13</f>
        <v>0.17520000000000002</v>
      </c>
      <c r="M13" s="31">
        <f>'Price list ALDI Süd'!E10</f>
        <v>3.48</v>
      </c>
      <c r="N13" s="31">
        <f>M13/1000*D13</f>
        <v>0.13919999999999999</v>
      </c>
      <c r="P13" s="42">
        <f>'Price list ALDI Süd'!H10</f>
        <v>4.38</v>
      </c>
      <c r="Q13" s="42">
        <f>P13/1000*D13</f>
        <v>0.17520000000000002</v>
      </c>
    </row>
    <row r="14" spans="1:17" ht="17" x14ac:dyDescent="0.2">
      <c r="B14" s="1" t="s">
        <v>30</v>
      </c>
      <c r="D14" s="1">
        <f>50*C4</f>
        <v>40</v>
      </c>
      <c r="E14" s="1">
        <f t="shared" si="0"/>
        <v>280</v>
      </c>
      <c r="G14" s="31">
        <f>'Price list REWE '!E11</f>
        <v>2.13</v>
      </c>
      <c r="H14" s="31">
        <f>G14/1000*D14</f>
        <v>8.5199999999999998E-2</v>
      </c>
      <c r="J14" s="42">
        <f>'Price list REWE '!H11</f>
        <v>4.25</v>
      </c>
      <c r="K14" s="42">
        <f>J14/1000*D14</f>
        <v>0.17</v>
      </c>
      <c r="M14" s="31">
        <f>'Price list ALDI Süd'!E11</f>
        <v>2.84</v>
      </c>
      <c r="N14" s="31">
        <f>M14/1000*D14</f>
        <v>0.11359999999999998</v>
      </c>
      <c r="P14" s="42">
        <f>'Price list ALDI Süd'!H11</f>
        <v>5.25</v>
      </c>
      <c r="Q14" s="42">
        <f>P14/1000*D14</f>
        <v>0.21000000000000002</v>
      </c>
    </row>
    <row r="15" spans="1:17" ht="17" x14ac:dyDescent="0.2">
      <c r="B15" s="1" t="s">
        <v>33</v>
      </c>
      <c r="D15" s="1">
        <f>40*C4</f>
        <v>32</v>
      </c>
      <c r="E15" s="1">
        <f t="shared" si="0"/>
        <v>224</v>
      </c>
      <c r="G15" s="31">
        <f>'Price list REWE '!E12</f>
        <v>1.58</v>
      </c>
      <c r="H15" s="31">
        <f>G15/1000*D15</f>
        <v>5.0560000000000001E-2</v>
      </c>
      <c r="J15" s="42">
        <f>'Price list REWE '!H12</f>
        <v>1.98</v>
      </c>
      <c r="K15" s="42">
        <f>J15/1000*D15</f>
        <v>6.336E-2</v>
      </c>
      <c r="M15" s="31">
        <f>'Price list ALDI Süd'!E12</f>
        <v>1.58</v>
      </c>
      <c r="N15" s="31">
        <f>M15/1000*D15</f>
        <v>5.0560000000000001E-2</v>
      </c>
      <c r="P15" s="42">
        <f>'Price list ALDI Süd'!H12</f>
        <v>1.9</v>
      </c>
      <c r="Q15" s="42">
        <f>P15/1000*D15</f>
        <v>6.08E-2</v>
      </c>
    </row>
    <row r="16" spans="1:17" ht="17" x14ac:dyDescent="0.2">
      <c r="B16" s="1" t="s">
        <v>36</v>
      </c>
      <c r="D16" s="1">
        <f>62*C4</f>
        <v>49.6</v>
      </c>
      <c r="E16" s="1">
        <f t="shared" si="0"/>
        <v>347.2</v>
      </c>
      <c r="G16" s="31">
        <f>'Price list REWE '!E13</f>
        <v>3.58</v>
      </c>
      <c r="H16" s="31">
        <f>G16/1000*D16</f>
        <v>0.17756800000000003</v>
      </c>
      <c r="J16" s="42">
        <f>'Price list REWE '!H13</f>
        <v>2.98</v>
      </c>
      <c r="K16" s="42">
        <f>J16/1000*D16</f>
        <v>0.14780799999999999</v>
      </c>
      <c r="M16" s="31">
        <f>'Price list ALDI Süd'!E13</f>
        <v>2.98</v>
      </c>
      <c r="N16" s="31">
        <f>M16/1000*D16</f>
        <v>0.14780799999999999</v>
      </c>
      <c r="P16" s="42">
        <f>'Price list ALDI Süd'!H13</f>
        <v>2.98</v>
      </c>
      <c r="Q16" s="42">
        <f>P16/1000*D16</f>
        <v>0.14780799999999999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40</v>
      </c>
      <c r="E18" s="4">
        <f>D18*$E$10</f>
        <v>280</v>
      </c>
      <c r="F18" s="4">
        <f>39*C4</f>
        <v>31.200000000000003</v>
      </c>
      <c r="G18" s="12"/>
      <c r="J18" s="12"/>
    </row>
    <row r="19" spans="1:17" ht="17" x14ac:dyDescent="0.2">
      <c r="B19" s="1" t="s">
        <v>41</v>
      </c>
      <c r="D19" s="1">
        <f>50*C4</f>
        <v>40</v>
      </c>
      <c r="E19" s="1">
        <f>D19*E10</f>
        <v>280</v>
      </c>
      <c r="G19" s="31">
        <f>'Price list REWE '!E16</f>
        <v>0.92</v>
      </c>
      <c r="H19" s="31">
        <f>G19/1000*D19</f>
        <v>3.6799999999999999E-2</v>
      </c>
      <c r="J19" s="42">
        <f>'Price list REWE '!H16</f>
        <v>1.53</v>
      </c>
      <c r="K19" s="42">
        <f>J19/1000*D19</f>
        <v>6.1200000000000004E-2</v>
      </c>
      <c r="M19" s="31">
        <f>'Price list ALDI Süd'!E16</f>
        <v>0.96</v>
      </c>
      <c r="N19" s="31">
        <f>M19/1000*D19</f>
        <v>3.8399999999999997E-2</v>
      </c>
      <c r="P19" s="42">
        <f>'Price list ALDI Süd'!H16</f>
        <v>1.46</v>
      </c>
      <c r="Q19" s="42">
        <f>P19/1000*D19</f>
        <v>5.8399999999999994E-2</v>
      </c>
    </row>
    <row r="20" spans="1:17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240</v>
      </c>
      <c r="E21" s="4">
        <f>D21*$E$10</f>
        <v>1680</v>
      </c>
    </row>
    <row r="22" spans="1:17" x14ac:dyDescent="0.2">
      <c r="C22" s="6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80</v>
      </c>
      <c r="E23" s="4">
        <f>D23*7</f>
        <v>560</v>
      </c>
      <c r="F23" s="4">
        <f>23*C4</f>
        <v>18.400000000000002</v>
      </c>
      <c r="G23" s="12"/>
      <c r="J23" s="12"/>
    </row>
    <row r="24" spans="1:17" ht="17" x14ac:dyDescent="0.2">
      <c r="B24" s="16" t="s">
        <v>392</v>
      </c>
      <c r="C24" s="340">
        <v>8.1854823894030371E-2</v>
      </c>
      <c r="D24" s="6">
        <f>C24*$D$23</f>
        <v>6.5483859115224297</v>
      </c>
      <c r="E24" s="1">
        <f>D24*7</f>
        <v>45.838701380657007</v>
      </c>
      <c r="G24" s="33">
        <f>'Price list REWE '!E21</f>
        <v>3.0944625407166124</v>
      </c>
      <c r="H24" s="31">
        <f t="shared" ref="H24:H31" si="1">G24/1000*D24</f>
        <v>2.0263734905362568E-2</v>
      </c>
      <c r="J24" s="45">
        <f>'Price list REWE '!H21</f>
        <v>3.0944625407166124</v>
      </c>
      <c r="K24" s="42">
        <f t="shared" ref="K24:K31" si="2">J24/1000*D24</f>
        <v>2.0263734905362568E-2</v>
      </c>
      <c r="M24" s="31">
        <f>'Price list ALDI Süd'!E21</f>
        <v>2.2475570032573291</v>
      </c>
      <c r="N24" s="31">
        <f t="shared" ref="N24:N31" si="3">M24/1000*D24</f>
        <v>1.4717870615473866E-2</v>
      </c>
      <c r="P24" s="42">
        <f>'Price list ALDI Süd'!H21</f>
        <v>2.2475570032573291</v>
      </c>
      <c r="Q24" s="42">
        <f t="shared" ref="Q24:Q31" si="4">P24/1000*D24</f>
        <v>1.4717870615473866E-2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5">C25*$D$23</f>
        <v>3.3465101297321938</v>
      </c>
      <c r="E25" s="1">
        <f t="shared" ref="E25:E31" si="6">D25*7</f>
        <v>23.425570908125355</v>
      </c>
      <c r="G25" s="33">
        <f>'Price list REWE '!E22</f>
        <v>2.875</v>
      </c>
      <c r="H25" s="31">
        <f t="shared" si="1"/>
        <v>9.6212166229800566E-3</v>
      </c>
      <c r="J25" s="45">
        <f>'Price list REWE '!H22</f>
        <v>5.98</v>
      </c>
      <c r="K25" s="42">
        <f t="shared" si="2"/>
        <v>2.0012130575798519E-2</v>
      </c>
      <c r="M25" s="31">
        <f>'Price list ALDI Süd'!E22</f>
        <v>2.875</v>
      </c>
      <c r="N25" s="31">
        <f t="shared" si="3"/>
        <v>9.6212166229800566E-3</v>
      </c>
      <c r="P25" s="42">
        <f>'Price list ALDI Süd'!H22</f>
        <v>11.96</v>
      </c>
      <c r="Q25" s="42">
        <f t="shared" si="4"/>
        <v>4.0024261151597039E-2</v>
      </c>
    </row>
    <row r="26" spans="1:17" ht="17" x14ac:dyDescent="0.2">
      <c r="B26" s="16" t="s">
        <v>51</v>
      </c>
      <c r="C26" s="340">
        <v>5.5140886754685689E-2</v>
      </c>
      <c r="D26" s="6">
        <f t="shared" si="5"/>
        <v>4.4112709403748553</v>
      </c>
      <c r="E26" s="1">
        <f t="shared" si="6"/>
        <v>30.878896582623987</v>
      </c>
      <c r="G26" s="33">
        <f>'Price list REWE '!E23</f>
        <v>1.76</v>
      </c>
      <c r="H26" s="31">
        <f t="shared" si="1"/>
        <v>7.7638368550597458E-3</v>
      </c>
      <c r="J26" s="45">
        <f>'Price list REWE '!H23</f>
        <v>3.32</v>
      </c>
      <c r="K26" s="42">
        <f t="shared" si="2"/>
        <v>1.464541952204452E-2</v>
      </c>
      <c r="M26" s="31">
        <f>'Price list ALDI Süd'!E23</f>
        <v>1.99</v>
      </c>
      <c r="N26" s="31">
        <f t="shared" si="3"/>
        <v>8.7784291713459625E-3</v>
      </c>
      <c r="P26" s="42">
        <f>'Price list ALDI Süd'!H23</f>
        <v>3.32</v>
      </c>
      <c r="Q26" s="42">
        <f t="shared" si="4"/>
        <v>1.464541952204452E-2</v>
      </c>
    </row>
    <row r="27" spans="1:17" ht="17" x14ac:dyDescent="0.2">
      <c r="B27" s="16" t="s">
        <v>394</v>
      </c>
      <c r="C27" s="340">
        <v>7.8411761271535096E-2</v>
      </c>
      <c r="D27" s="6">
        <f t="shared" si="5"/>
        <v>6.2729409017228077</v>
      </c>
      <c r="E27" s="1">
        <f t="shared" si="6"/>
        <v>43.910586312059657</v>
      </c>
      <c r="G27" s="33">
        <f>'Price list REWE '!E24</f>
        <v>1.8349928876244666</v>
      </c>
      <c r="H27" s="31">
        <f t="shared" si="1"/>
        <v>1.151080193914996E-2</v>
      </c>
      <c r="J27" s="45">
        <f>'Price list REWE '!H24</f>
        <v>3.8264580369843526</v>
      </c>
      <c r="K27" s="42">
        <f t="shared" si="2"/>
        <v>2.400314512892511E-2</v>
      </c>
      <c r="M27" s="31">
        <f>'Price list ALDI Süd'!E24</f>
        <v>1.4082503556187767</v>
      </c>
      <c r="N27" s="31">
        <f t="shared" si="3"/>
        <v>8.8338712556267126E-3</v>
      </c>
      <c r="P27" s="42">
        <f>'Price list ALDI Süd'!H24</f>
        <v>3.8264580369843526</v>
      </c>
      <c r="Q27" s="42">
        <f t="shared" si="4"/>
        <v>2.400314512892511E-2</v>
      </c>
    </row>
    <row r="28" spans="1:17" ht="17" x14ac:dyDescent="0.2">
      <c r="B28" s="16" t="s">
        <v>395</v>
      </c>
      <c r="C28" s="340">
        <v>0.10804527200358816</v>
      </c>
      <c r="D28" s="6">
        <f t="shared" si="5"/>
        <v>8.6436217602870524</v>
      </c>
      <c r="E28" s="1">
        <f t="shared" si="6"/>
        <v>60.505352322009365</v>
      </c>
      <c r="G28" s="33">
        <f>'Price list REWE '!E25</f>
        <v>6.2402088772845961</v>
      </c>
      <c r="H28" s="31">
        <f t="shared" si="1"/>
        <v>5.3938005240433573E-2</v>
      </c>
      <c r="J28" s="45">
        <f>'Price list REWE '!H25</f>
        <v>6.5013054830287214</v>
      </c>
      <c r="K28" s="42">
        <f t="shared" si="2"/>
        <v>5.619482554338058E-2</v>
      </c>
      <c r="M28" s="31">
        <f>'Price list ALDI Süd'!E25</f>
        <v>4.125</v>
      </c>
      <c r="N28" s="31">
        <f t="shared" si="3"/>
        <v>3.5654939761184092E-2</v>
      </c>
      <c r="P28" s="42">
        <f>'Price list ALDI Süd'!H25</f>
        <v>7.041666666666667</v>
      </c>
      <c r="Q28" s="42">
        <f t="shared" si="4"/>
        <v>6.0865503228687994E-2</v>
      </c>
    </row>
    <row r="29" spans="1:17" ht="17" x14ac:dyDescent="0.2">
      <c r="B29" s="16" t="s">
        <v>396</v>
      </c>
      <c r="C29" s="340">
        <v>0.24433687491347134</v>
      </c>
      <c r="D29" s="6">
        <f>C29*$D$23</f>
        <v>19.546949993077707</v>
      </c>
      <c r="E29" s="1">
        <f t="shared" si="6"/>
        <v>136.82864995154395</v>
      </c>
      <c r="G29" s="33">
        <f>'Price list REWE '!E26</f>
        <v>1.0745614035087721</v>
      </c>
      <c r="H29" s="31">
        <f t="shared" si="1"/>
        <v>2.1004398018877365E-2</v>
      </c>
      <c r="J29" s="45">
        <f>'Price list REWE '!H26</f>
        <v>3.2675438596491229</v>
      </c>
      <c r="K29" s="42">
        <f t="shared" si="2"/>
        <v>6.3870516424749529E-2</v>
      </c>
      <c r="M29" s="31">
        <f>'Price list ALDI Süd'!E26</f>
        <v>1.0745614035087721</v>
      </c>
      <c r="N29" s="31">
        <f t="shared" si="3"/>
        <v>2.1004398018877365E-2</v>
      </c>
      <c r="P29" s="42">
        <f>'Price list ALDI Süd'!H26</f>
        <v>1.2938596491228069</v>
      </c>
      <c r="Q29" s="42">
        <f t="shared" si="4"/>
        <v>2.5291009859464576E-2</v>
      </c>
    </row>
    <row r="30" spans="1:17" ht="17" x14ac:dyDescent="0.2">
      <c r="B30" s="16" t="s">
        <v>63</v>
      </c>
      <c r="C30" s="340">
        <v>0.19518950227051848</v>
      </c>
      <c r="D30" s="6">
        <f t="shared" si="5"/>
        <v>15.615160181641478</v>
      </c>
      <c r="E30" s="1">
        <f t="shared" si="6"/>
        <v>109.30612127149035</v>
      </c>
      <c r="G30" s="33">
        <f>'Price list REWE '!E27</f>
        <v>1.79</v>
      </c>
      <c r="H30" s="31">
        <f t="shared" si="1"/>
        <v>2.7951136725138249E-2</v>
      </c>
      <c r="J30" s="45">
        <f>'Price list REWE '!H27</f>
        <v>3.58</v>
      </c>
      <c r="K30" s="42">
        <f t="shared" si="2"/>
        <v>5.5902273450276499E-2</v>
      </c>
      <c r="M30" s="31">
        <f>'Price list ALDI Süd'!E27</f>
        <v>1.49</v>
      </c>
      <c r="N30" s="31">
        <f t="shared" si="3"/>
        <v>2.3266588670645804E-2</v>
      </c>
      <c r="P30" s="42">
        <f>'Price list ALDI Süd'!H27</f>
        <v>1.78</v>
      </c>
      <c r="Q30" s="42">
        <f t="shared" si="4"/>
        <v>2.7794985123321833E-2</v>
      </c>
    </row>
    <row r="31" spans="1:17" ht="17" x14ac:dyDescent="0.2">
      <c r="B31" s="16" t="s">
        <v>66</v>
      </c>
      <c r="C31" s="340">
        <v>0.19518950227051848</v>
      </c>
      <c r="D31" s="6">
        <f t="shared" si="5"/>
        <v>15.615160181641478</v>
      </c>
      <c r="E31" s="1">
        <f t="shared" si="6"/>
        <v>109.30612127149035</v>
      </c>
      <c r="G31" s="33">
        <f>'Price list REWE '!E28</f>
        <v>1.99</v>
      </c>
      <c r="H31" s="31">
        <f t="shared" si="1"/>
        <v>3.1074168761466542E-2</v>
      </c>
      <c r="J31" s="45">
        <f>'Price list REWE '!H28</f>
        <v>5.3</v>
      </c>
      <c r="K31" s="42">
        <f t="shared" si="2"/>
        <v>8.2760348962699834E-2</v>
      </c>
      <c r="M31" s="31">
        <f>'Price list ALDI Süd'!E28</f>
        <v>1.99</v>
      </c>
      <c r="N31" s="31">
        <f t="shared" si="3"/>
        <v>3.1074168761466542E-2</v>
      </c>
      <c r="P31" s="42">
        <f>'Price list ALDI Süd'!H28</f>
        <v>5.3</v>
      </c>
      <c r="Q31" s="42">
        <f t="shared" si="4"/>
        <v>8.2760348962699834E-2</v>
      </c>
    </row>
    <row r="32" spans="1:17" x14ac:dyDescent="0.2">
      <c r="A32" s="9">
        <v>8</v>
      </c>
      <c r="B32" s="16"/>
      <c r="C32" s="340"/>
      <c r="G32" s="33"/>
      <c r="H32" s="31"/>
      <c r="J32" s="45"/>
      <c r="K32" s="42"/>
      <c r="M32" s="31"/>
      <c r="N32" s="31"/>
      <c r="P32" s="42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80</v>
      </c>
      <c r="F33" s="4">
        <f>30*C4</f>
        <v>24</v>
      </c>
      <c r="G33" s="12"/>
      <c r="J33" s="12"/>
    </row>
    <row r="34" spans="1:17" ht="17" x14ac:dyDescent="0.2">
      <c r="B34" s="23" t="s">
        <v>70</v>
      </c>
      <c r="C34" s="340">
        <v>0.21012979994107583</v>
      </c>
      <c r="D34" s="6">
        <f>C34*D33</f>
        <v>16.810383995286067</v>
      </c>
      <c r="E34" s="1">
        <f t="shared" ref="E34:E39" si="7">D34*7</f>
        <v>117.67268796700247</v>
      </c>
      <c r="G34" s="33">
        <f>'Price list REWE '!E31</f>
        <v>1.75</v>
      </c>
      <c r="H34" s="31">
        <f t="shared" ref="H34:H39" si="8">G34/1000*D34</f>
        <v>2.9418171991750619E-2</v>
      </c>
      <c r="J34" s="45">
        <f>'Price list REWE '!H31</f>
        <v>2.79</v>
      </c>
      <c r="K34" s="42">
        <f t="shared" ref="K34:K39" si="9">J34/1000*D34</f>
        <v>4.6900971346848126E-2</v>
      </c>
      <c r="M34" s="31">
        <f>'Price list ALDI Süd'!E31</f>
        <v>1.5</v>
      </c>
      <c r="N34" s="31">
        <f t="shared" ref="N34:N39" si="10">M34/1000*D34</f>
        <v>2.5215575992929101E-2</v>
      </c>
      <c r="P34" s="42">
        <f>'Price list ALDI Süd'!H31</f>
        <v>2.19</v>
      </c>
      <c r="Q34" s="42">
        <f t="shared" ref="Q34:Q39" si="11">P34/1000*D34</f>
        <v>3.6814740949676489E-2</v>
      </c>
    </row>
    <row r="35" spans="1:17" ht="17" x14ac:dyDescent="0.2">
      <c r="B35" s="16" t="s">
        <v>73</v>
      </c>
      <c r="C35" s="340">
        <v>0.19042830974833957</v>
      </c>
      <c r="D35" s="6">
        <f>C35*D33</f>
        <v>15.234264779867166</v>
      </c>
      <c r="E35" s="1">
        <f t="shared" si="7"/>
        <v>106.63985345907017</v>
      </c>
      <c r="G35" s="33">
        <f>'Price list REWE '!E32</f>
        <v>2.79</v>
      </c>
      <c r="H35" s="31">
        <f t="shared" si="8"/>
        <v>4.2503598735829394E-2</v>
      </c>
      <c r="J35" s="45">
        <f>'Price list REWE '!H32</f>
        <v>5.18</v>
      </c>
      <c r="K35" s="42">
        <f t="shared" si="9"/>
        <v>7.8913491559711918E-2</v>
      </c>
      <c r="M35" s="31">
        <f>'Price list ALDI Süd'!E32</f>
        <v>1.79</v>
      </c>
      <c r="N35" s="31">
        <f t="shared" si="10"/>
        <v>2.7269333955962229E-2</v>
      </c>
      <c r="P35" s="42">
        <f>'Price list ALDI Süd'!H32</f>
        <v>4.58</v>
      </c>
      <c r="Q35" s="42">
        <f t="shared" si="11"/>
        <v>6.977293269179162E-2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15.234264779867166</v>
      </c>
      <c r="E36" s="1">
        <f t="shared" si="7"/>
        <v>106.63985345907017</v>
      </c>
      <c r="G36" s="33">
        <f>'Price list REWE '!E33</f>
        <v>1.7</v>
      </c>
      <c r="H36" s="31">
        <f t="shared" si="8"/>
        <v>2.589825012577418E-2</v>
      </c>
      <c r="J36" s="45">
        <f>'Price list REWE '!H33</f>
        <v>2.27</v>
      </c>
      <c r="K36" s="42">
        <f t="shared" si="9"/>
        <v>3.4581781050298466E-2</v>
      </c>
      <c r="M36" s="31">
        <f>'Price list ALDI Süd'!E33</f>
        <v>1.7</v>
      </c>
      <c r="N36" s="31">
        <f t="shared" si="10"/>
        <v>2.589825012577418E-2</v>
      </c>
      <c r="P36" s="42">
        <f>'Price list ALDI Süd'!H33</f>
        <v>1.98</v>
      </c>
      <c r="Q36" s="42">
        <f t="shared" si="11"/>
        <v>3.0163844264136989E-2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15.234264779867166</v>
      </c>
      <c r="E37" s="1">
        <f t="shared" si="7"/>
        <v>106.63985345907017</v>
      </c>
      <c r="G37" s="33">
        <f>'Price list REWE '!E34</f>
        <v>2.125</v>
      </c>
      <c r="H37" s="31">
        <f t="shared" si="8"/>
        <v>3.2372812657217732E-2</v>
      </c>
      <c r="J37" s="45">
        <f>'Price list REWE '!H34</f>
        <v>2.4750000000000001</v>
      </c>
      <c r="K37" s="42">
        <f t="shared" si="9"/>
        <v>3.7704805330171239E-2</v>
      </c>
      <c r="M37" s="31">
        <f>'Price list ALDI Süd'!E34</f>
        <v>2</v>
      </c>
      <c r="N37" s="31">
        <f t="shared" si="10"/>
        <v>3.0468529559734333E-2</v>
      </c>
      <c r="P37" s="42">
        <f>'Price list ALDI Süd'!H34</f>
        <v>2.4750000000000001</v>
      </c>
      <c r="Q37" s="42">
        <f t="shared" si="11"/>
        <v>3.7704805330171239E-2</v>
      </c>
    </row>
    <row r="38" spans="1:17" ht="17" x14ac:dyDescent="0.2">
      <c r="B38" s="16" t="s">
        <v>82</v>
      </c>
      <c r="C38" s="340">
        <v>0.10929263540695267</v>
      </c>
      <c r="D38" s="6">
        <f t="shared" si="12"/>
        <v>8.7434108325562132</v>
      </c>
      <c r="E38" s="1">
        <f t="shared" si="7"/>
        <v>61.203875827893491</v>
      </c>
      <c r="G38" s="33">
        <f>'Price list REWE '!E35</f>
        <v>3.98</v>
      </c>
      <c r="H38" s="31">
        <f t="shared" si="8"/>
        <v>3.4798775113573731E-2</v>
      </c>
      <c r="J38" s="45">
        <f>'Price list REWE '!H35</f>
        <v>6.99</v>
      </c>
      <c r="K38" s="42">
        <f t="shared" si="9"/>
        <v>6.1116441719567934E-2</v>
      </c>
      <c r="M38" s="31">
        <f>'Price list ALDI Süd'!E35</f>
        <v>3.79</v>
      </c>
      <c r="N38" s="31">
        <f t="shared" si="10"/>
        <v>3.3137527055388048E-2</v>
      </c>
      <c r="P38" s="42">
        <f>'Price list ALDI Süd'!H35</f>
        <v>4.4800000000000004</v>
      </c>
      <c r="Q38" s="42">
        <f t="shared" si="11"/>
        <v>3.9170480529851837E-2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8.7434108325562132</v>
      </c>
      <c r="E39" s="1">
        <f t="shared" si="7"/>
        <v>61.203875827893491</v>
      </c>
      <c r="G39" s="76">
        <f>'Price list REWE '!E36</f>
        <v>2.9289940828402368</v>
      </c>
      <c r="H39" s="31">
        <f t="shared" si="8"/>
        <v>2.5609398592398375E-2</v>
      </c>
      <c r="J39" s="46">
        <f>'Price list REWE '!H36</f>
        <v>3.8165680473372783</v>
      </c>
      <c r="K39" s="42">
        <f t="shared" si="9"/>
        <v>3.3369822408276677E-2</v>
      </c>
      <c r="M39" s="31">
        <f>'Price list ALDI Süd'!E36</f>
        <v>2.3372781065088759</v>
      </c>
      <c r="N39" s="31">
        <f t="shared" si="10"/>
        <v>2.0435782715146181E-2</v>
      </c>
      <c r="P39" s="42">
        <f>'Price list ALDI Süd'!H36</f>
        <v>3.8165680473372783</v>
      </c>
      <c r="Q39" s="42">
        <f t="shared" si="11"/>
        <v>3.3369822408276677E-2</v>
      </c>
    </row>
    <row r="40" spans="1:17" x14ac:dyDescent="0.2">
      <c r="A40" s="9">
        <v>6</v>
      </c>
      <c r="C40" s="340"/>
      <c r="D40" s="6"/>
      <c r="G40" s="35"/>
      <c r="H40" s="31"/>
      <c r="J40" s="46"/>
      <c r="K40" s="42"/>
      <c r="M40" s="31"/>
      <c r="N40" s="31"/>
      <c r="P40" s="42"/>
      <c r="Q40" s="42"/>
    </row>
    <row r="41" spans="1:17" s="4" customFormat="1" ht="17" x14ac:dyDescent="0.2">
      <c r="A41" s="12"/>
      <c r="B41" s="186" t="s">
        <v>88</v>
      </c>
      <c r="C41" s="341"/>
      <c r="D41" s="29">
        <f>100*C4</f>
        <v>80</v>
      </c>
      <c r="F41" s="4">
        <f>25*C4</f>
        <v>20</v>
      </c>
      <c r="G41" s="12"/>
      <c r="J41" s="12"/>
    </row>
    <row r="42" spans="1:17" ht="17" x14ac:dyDescent="0.2">
      <c r="B42" s="16" t="s">
        <v>89</v>
      </c>
      <c r="C42" s="340">
        <v>0.24393305975418372</v>
      </c>
      <c r="D42" s="1">
        <f>C42*$D$41</f>
        <v>19.514644780334699</v>
      </c>
      <c r="E42" s="1">
        <f>D42*7</f>
        <v>136.6025134623429</v>
      </c>
      <c r="G42" s="33">
        <f>'Price list REWE '!E39</f>
        <v>1.49</v>
      </c>
      <c r="H42" s="31">
        <f>G42/1000*D42</f>
        <v>2.9076820722698703E-2</v>
      </c>
      <c r="J42" s="45">
        <f>'Price list REWE '!H39</f>
        <v>1.49</v>
      </c>
      <c r="K42" s="42">
        <f>J42/1000*D42</f>
        <v>2.9076820722698703E-2</v>
      </c>
      <c r="M42" s="31">
        <f>'Price list ALDI Süd'!E39</f>
        <v>1.49</v>
      </c>
      <c r="N42" s="31">
        <f>M42/1000*D42</f>
        <v>2.9076820722698703E-2</v>
      </c>
      <c r="P42" s="42">
        <f>'Price list ALDI Süd'!H39</f>
        <v>1.49</v>
      </c>
      <c r="Q42" s="42">
        <f>P42/1000*D42</f>
        <v>2.9076820722698703E-2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8.504244994863237</v>
      </c>
      <c r="E43" s="1">
        <f>D43*7</f>
        <v>59.529714964042661</v>
      </c>
      <c r="G43" s="31">
        <f>'Price list REWE '!E40</f>
        <v>1.99</v>
      </c>
      <c r="H43" s="31">
        <f>G43/1000*D43</f>
        <v>1.6923447539777842E-2</v>
      </c>
      <c r="J43" s="42">
        <f>'Price list REWE '!H40</f>
        <v>7.3</v>
      </c>
      <c r="K43" s="42">
        <f>J43/1000*D43</f>
        <v>6.2080988462501631E-2</v>
      </c>
      <c r="M43" s="31">
        <f>'Price list ALDI Süd'!E40</f>
        <v>1.99</v>
      </c>
      <c r="N43" s="31">
        <f>M43/1000*D43</f>
        <v>1.6923447539777842E-2</v>
      </c>
      <c r="P43" s="42">
        <f>'Price list ALDI Süd'!H40</f>
        <v>3.32</v>
      </c>
      <c r="Q43" s="42">
        <f>P43/1000*D43</f>
        <v>2.8234093382945948E-2</v>
      </c>
    </row>
    <row r="44" spans="1:17" ht="17" x14ac:dyDescent="0.2">
      <c r="B44" s="16" t="s">
        <v>94</v>
      </c>
      <c r="C44" s="87">
        <v>0.46774770023805184</v>
      </c>
      <c r="D44" s="1">
        <f t="shared" si="13"/>
        <v>37.419816019044148</v>
      </c>
      <c r="E44" s="1">
        <f>D44*7</f>
        <v>261.93871213330902</v>
      </c>
      <c r="G44" s="33">
        <f>'Price list REWE '!E41</f>
        <v>1.79</v>
      </c>
      <c r="H44" s="31">
        <f>G44/1000*D44</f>
        <v>6.6981470674089036E-2</v>
      </c>
      <c r="J44" s="45">
        <f>'Price list REWE '!H41</f>
        <v>3.05</v>
      </c>
      <c r="K44" s="42">
        <f>J44/1000*D44</f>
        <v>0.11413043885808465</v>
      </c>
      <c r="M44" s="31">
        <f>'Price list ALDI Süd'!E41</f>
        <v>1.99</v>
      </c>
      <c r="N44" s="31">
        <f>M44/1000*D44</f>
        <v>7.4465433877897849E-2</v>
      </c>
      <c r="P44" s="42">
        <f>'Price list ALDI Süd'!H41</f>
        <v>1.99</v>
      </c>
      <c r="Q44" s="42">
        <f>P44/1000*D44</f>
        <v>7.4465433877897849E-2</v>
      </c>
    </row>
    <row r="45" spans="1:17" ht="17" x14ac:dyDescent="0.2">
      <c r="B45" s="16" t="s">
        <v>398</v>
      </c>
      <c r="C45" s="87">
        <v>0.10260798307610458</v>
      </c>
      <c r="D45" s="1">
        <f t="shared" si="13"/>
        <v>8.2086386460883674</v>
      </c>
      <c r="E45" s="1">
        <f>D45*7</f>
        <v>57.460470522618571</v>
      </c>
      <c r="G45" s="33">
        <f>'Price list REWE '!E42</f>
        <v>6.99</v>
      </c>
      <c r="H45" s="31">
        <f>G45/1000*D45</f>
        <v>5.7378384136157694E-2</v>
      </c>
      <c r="J45" s="45">
        <f>'Price list REWE '!H42</f>
        <v>9.9600000000000009</v>
      </c>
      <c r="K45" s="42">
        <f>J45/1000*D45</f>
        <v>8.1758040915040145E-2</v>
      </c>
      <c r="M45" s="31">
        <f>'Price list ALDI Süd'!E42</f>
        <v>4.9800000000000004</v>
      </c>
      <c r="N45" s="31">
        <f>M45/1000*D45</f>
        <v>4.0879020457520072E-2</v>
      </c>
      <c r="P45" s="42">
        <f>'Price list ALDI Süd'!H42</f>
        <v>7.16</v>
      </c>
      <c r="Q45" s="42">
        <f>P45/1000*D45</f>
        <v>5.8773852705992717E-2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6.3526555596695555</v>
      </c>
      <c r="E46" s="1">
        <f>D46*7</f>
        <v>44.468588917686887</v>
      </c>
      <c r="G46" s="33">
        <f>'Price list REWE '!E43</f>
        <v>10</v>
      </c>
      <c r="H46" s="31">
        <f>G46/1000*D46</f>
        <v>6.3526555596695553E-2</v>
      </c>
      <c r="J46" s="45">
        <f>'Price list REWE '!H43</f>
        <v>10</v>
      </c>
      <c r="K46" s="42">
        <f>J46/1000*D46</f>
        <v>6.3526555596695553E-2</v>
      </c>
      <c r="M46" s="31">
        <f>'Price list ALDI Süd'!E43</f>
        <v>9.9</v>
      </c>
      <c r="N46" s="31">
        <f>M46/1000*D46</f>
        <v>6.2891290040728604E-2</v>
      </c>
      <c r="P46" s="42">
        <f>'Price list ALDI Süd'!H43</f>
        <v>9.9</v>
      </c>
      <c r="Q46" s="42">
        <f>P46/1000*D46</f>
        <v>6.2891290040728604E-2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160</v>
      </c>
      <c r="E48" s="4">
        <f>D48*$E$10</f>
        <v>1120</v>
      </c>
      <c r="F48" s="4">
        <f>126*C4</f>
        <v>100.80000000000001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71.945640858432128</v>
      </c>
      <c r="E49" s="1">
        <f t="shared" ref="E49:E58" si="14">D49*$E$10</f>
        <v>503.61948600902491</v>
      </c>
      <c r="G49" s="58">
        <f>'Price list REWE '!E46</f>
        <v>1.19</v>
      </c>
      <c r="H49" s="31">
        <f t="shared" ref="H49:H58" si="15">G49/1000*D49</f>
        <v>8.5615312621534226E-2</v>
      </c>
      <c r="J49" s="187">
        <f>'Price list REWE '!H46</f>
        <v>2.99</v>
      </c>
      <c r="K49" s="42">
        <f t="shared" ref="K49:K58" si="16">J49/1000*D49</f>
        <v>0.21511746616671207</v>
      </c>
      <c r="M49" s="31">
        <f>'Price list ALDI Süd'!E46</f>
        <v>0.94499999999999995</v>
      </c>
      <c r="N49" s="31">
        <f t="shared" ref="N49:N58" si="17">M49/1000*D49</f>
        <v>6.7988630611218362E-2</v>
      </c>
      <c r="P49" s="42">
        <f>'Price list ALDI Süd'!H46</f>
        <v>1.92</v>
      </c>
      <c r="Q49" s="42">
        <f t="shared" ref="Q49:Q58" si="18">P49/1000*D49</f>
        <v>0.13813563044818966</v>
      </c>
    </row>
    <row r="50" spans="1:17" ht="17" x14ac:dyDescent="0.2">
      <c r="B50" s="26" t="s">
        <v>106</v>
      </c>
      <c r="C50" s="342">
        <v>4.5787970295011769E-2</v>
      </c>
      <c r="D50" s="1">
        <f t="shared" ref="D50:D58" si="19">C50*$D$48</f>
        <v>7.3260752472018833</v>
      </c>
      <c r="E50" s="1">
        <f t="shared" si="14"/>
        <v>51.282526730413181</v>
      </c>
      <c r="G50" s="58">
        <f>'Price list REWE '!E47</f>
        <v>1.79</v>
      </c>
      <c r="H50" s="31">
        <f t="shared" si="15"/>
        <v>1.3113674692491372E-2</v>
      </c>
      <c r="J50" s="187">
        <f>'Price list REWE '!H47</f>
        <v>3.65</v>
      </c>
      <c r="K50" s="42">
        <f t="shared" si="16"/>
        <v>2.6740174652286876E-2</v>
      </c>
      <c r="M50" s="31">
        <f>'Price list ALDI Süd'!E47</f>
        <v>1.79</v>
      </c>
      <c r="N50" s="31">
        <f t="shared" si="17"/>
        <v>1.3113674692491372E-2</v>
      </c>
      <c r="P50" s="42">
        <f>'Price list ALDI Süd'!H47</f>
        <v>3.65</v>
      </c>
      <c r="Q50" s="42">
        <f t="shared" si="18"/>
        <v>2.6740174652286876E-2</v>
      </c>
    </row>
    <row r="51" spans="1:17" ht="17" x14ac:dyDescent="0.2">
      <c r="B51" s="26" t="s">
        <v>109</v>
      </c>
      <c r="C51" s="342">
        <v>2.019481503339627E-2</v>
      </c>
      <c r="D51" s="1">
        <f t="shared" si="19"/>
        <v>3.2311704053434029</v>
      </c>
      <c r="E51" s="1">
        <f t="shared" si="14"/>
        <v>22.618192837403821</v>
      </c>
      <c r="G51" s="58">
        <f>'Price list REWE '!E48</f>
        <v>4.99</v>
      </c>
      <c r="H51" s="31">
        <f t="shared" si="15"/>
        <v>1.6123540322663582E-2</v>
      </c>
      <c r="J51" s="187">
        <f>'Price list REWE '!H48</f>
        <v>4.99</v>
      </c>
      <c r="K51" s="42">
        <f t="shared" si="16"/>
        <v>1.6123540322663582E-2</v>
      </c>
      <c r="M51" s="31">
        <f>'Price list ALDI Süd'!E48</f>
        <v>3.98</v>
      </c>
      <c r="N51" s="31">
        <f t="shared" si="17"/>
        <v>1.2860058213266743E-2</v>
      </c>
      <c r="P51" s="42">
        <f>'Price list ALDI Süd'!H48</f>
        <v>3.98</v>
      </c>
      <c r="Q51" s="42">
        <f t="shared" si="18"/>
        <v>1.2860058213266743E-2</v>
      </c>
    </row>
    <row r="52" spans="1:17" ht="17" x14ac:dyDescent="0.2">
      <c r="B52" s="26" t="s">
        <v>111</v>
      </c>
      <c r="C52" s="342">
        <v>2.0560497203855613E-2</v>
      </c>
      <c r="D52" s="1">
        <f t="shared" si="19"/>
        <v>3.289679552616898</v>
      </c>
      <c r="E52" s="1">
        <f t="shared" si="14"/>
        <v>23.027756868318285</v>
      </c>
      <c r="G52" s="58">
        <f>'Price list REWE '!E49</f>
        <v>7.98</v>
      </c>
      <c r="H52" s="31">
        <f t="shared" si="15"/>
        <v>2.6251642829882849E-2</v>
      </c>
      <c r="J52" s="187">
        <f>'Price list REWE '!H49</f>
        <v>10.63</v>
      </c>
      <c r="K52" s="42">
        <f t="shared" si="16"/>
        <v>3.4969293644317626E-2</v>
      </c>
      <c r="M52" s="31">
        <f>'Price list ALDI Süd'!E49</f>
        <v>7.98</v>
      </c>
      <c r="N52" s="31">
        <f t="shared" si="17"/>
        <v>2.6251642829882849E-2</v>
      </c>
      <c r="P52" s="42">
        <f>'Price list ALDI Süd'!H49</f>
        <v>9.9700000000000006</v>
      </c>
      <c r="Q52" s="42">
        <f t="shared" si="18"/>
        <v>3.2798105139590479E-2</v>
      </c>
    </row>
    <row r="53" spans="1:17" ht="17" x14ac:dyDescent="0.2">
      <c r="B53" s="26" t="s">
        <v>114</v>
      </c>
      <c r="C53" s="342">
        <v>1.772181875645604E-2</v>
      </c>
      <c r="D53" s="1">
        <f t="shared" si="19"/>
        <v>2.8354910010329664</v>
      </c>
      <c r="E53" s="1">
        <f t="shared" si="14"/>
        <v>19.848437007230764</v>
      </c>
      <c r="G53" s="58">
        <f>'Price list REWE '!E50</f>
        <v>5.98</v>
      </c>
      <c r="H53" s="31">
        <f t="shared" si="15"/>
        <v>1.6956236186177139E-2</v>
      </c>
      <c r="J53" s="187">
        <f>'Price list REWE '!H50</f>
        <v>10.63</v>
      </c>
      <c r="K53" s="42">
        <f t="shared" si="16"/>
        <v>3.0141269340980433E-2</v>
      </c>
      <c r="M53" s="31">
        <f>'Price list ALDI Süd'!E50</f>
        <v>5.98</v>
      </c>
      <c r="N53" s="31">
        <f t="shared" si="17"/>
        <v>1.6956236186177139E-2</v>
      </c>
      <c r="P53" s="42">
        <f>'Price list ALDI Süd'!H50</f>
        <v>9.9700000000000006</v>
      </c>
      <c r="Q53" s="42">
        <f t="shared" si="18"/>
        <v>2.8269845280298678E-2</v>
      </c>
    </row>
    <row r="54" spans="1:17" ht="17" x14ac:dyDescent="0.2">
      <c r="B54" s="26" t="s">
        <v>117</v>
      </c>
      <c r="C54" s="342">
        <v>7.018785236884495E-2</v>
      </c>
      <c r="D54" s="1">
        <f t="shared" si="19"/>
        <v>11.230056379015192</v>
      </c>
      <c r="E54" s="1">
        <f t="shared" si="14"/>
        <v>78.61039465310634</v>
      </c>
      <c r="G54" s="58">
        <f>'Price list REWE '!E51</f>
        <v>5.58</v>
      </c>
      <c r="H54" s="31">
        <f t="shared" si="15"/>
        <v>6.2663714594904774E-2</v>
      </c>
      <c r="J54" s="187">
        <f>'Price list REWE '!H51</f>
        <v>5.58</v>
      </c>
      <c r="K54" s="42">
        <f t="shared" si="16"/>
        <v>6.2663714594904774E-2</v>
      </c>
      <c r="M54" s="31">
        <f>'Price list ALDI Süd'!E51</f>
        <v>3.99</v>
      </c>
      <c r="N54" s="31">
        <f t="shared" si="17"/>
        <v>4.4807924952270622E-2</v>
      </c>
      <c r="P54" s="42">
        <f>'Price list ALDI Süd'!H51</f>
        <v>9.9700000000000006</v>
      </c>
      <c r="Q54" s="42">
        <f t="shared" si="18"/>
        <v>0.11196366209878147</v>
      </c>
    </row>
    <row r="55" spans="1:17" ht="17" x14ac:dyDescent="0.2">
      <c r="B55" s="26" t="s">
        <v>119</v>
      </c>
      <c r="C55" s="342">
        <v>9.5944736748873077E-2</v>
      </c>
      <c r="D55" s="1">
        <f t="shared" si="19"/>
        <v>15.351157879819691</v>
      </c>
      <c r="E55" s="1">
        <f t="shared" si="14"/>
        <v>107.45810515873784</v>
      </c>
      <c r="G55" s="58">
        <f>'Price list REWE '!E52</f>
        <v>3.58</v>
      </c>
      <c r="H55" s="31">
        <f t="shared" si="15"/>
        <v>5.4957145209754497E-2</v>
      </c>
      <c r="J55" s="187">
        <f>'Price list REWE '!H52</f>
        <v>3.58</v>
      </c>
      <c r="K55" s="42">
        <f t="shared" si="16"/>
        <v>5.4957145209754497E-2</v>
      </c>
      <c r="M55" s="31">
        <f>'Price list ALDI Süd'!E52</f>
        <v>3.38</v>
      </c>
      <c r="N55" s="31">
        <f t="shared" si="17"/>
        <v>5.1886913633790555E-2</v>
      </c>
      <c r="P55" s="42">
        <f>'Price list ALDI Süd'!H52</f>
        <v>3.38</v>
      </c>
      <c r="Q55" s="42">
        <f t="shared" si="18"/>
        <v>5.1886913633790555E-2</v>
      </c>
    </row>
    <row r="56" spans="1:17" ht="17" x14ac:dyDescent="0.2">
      <c r="B56" s="26" t="s">
        <v>121</v>
      </c>
      <c r="C56" s="342">
        <v>0.21388130862220195</v>
      </c>
      <c r="D56" s="1">
        <f t="shared" si="19"/>
        <v>34.221009379552314</v>
      </c>
      <c r="E56" s="1">
        <f t="shared" si="14"/>
        <v>239.54706565686621</v>
      </c>
      <c r="G56" s="58">
        <f>'Price list REWE '!E53</f>
        <v>1.29</v>
      </c>
      <c r="H56" s="31">
        <f t="shared" si="15"/>
        <v>4.4145102099622489E-2</v>
      </c>
      <c r="J56" s="187">
        <f>'Price list REWE '!H53</f>
        <v>1.99</v>
      </c>
      <c r="K56" s="42">
        <f t="shared" si="16"/>
        <v>6.8099808665309111E-2</v>
      </c>
      <c r="M56" s="31">
        <f>'Price list ALDI Süd'!E53</f>
        <v>1.29</v>
      </c>
      <c r="N56" s="31">
        <f t="shared" si="17"/>
        <v>4.4145102099622489E-2</v>
      </c>
      <c r="P56" s="42">
        <f>'Price list ALDI Süd'!H53</f>
        <v>1.99</v>
      </c>
      <c r="Q56" s="42">
        <f t="shared" si="18"/>
        <v>6.8099808665309111E-2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1.8729406057384965</v>
      </c>
      <c r="E57" s="1">
        <f t="shared" si="14"/>
        <v>13.110584240169477</v>
      </c>
      <c r="G57" s="31">
        <f>'Price list REWE '!E54</f>
        <v>5.98</v>
      </c>
      <c r="H57" s="31">
        <f t="shared" si="15"/>
        <v>1.120018482231621E-2</v>
      </c>
      <c r="J57" s="42">
        <f>'Price list REWE '!H54</f>
        <v>5.98</v>
      </c>
      <c r="K57" s="42">
        <f t="shared" si="16"/>
        <v>1.120018482231621E-2</v>
      </c>
      <c r="M57" s="31">
        <f>'Price list ALDI Süd'!E54</f>
        <v>3.98</v>
      </c>
      <c r="N57" s="31">
        <f t="shared" si="17"/>
        <v>7.4543036108392158E-3</v>
      </c>
      <c r="P57" s="42">
        <f>'Price list ALDI Süd'!H54</f>
        <v>3.98</v>
      </c>
      <c r="Q57" s="42">
        <f t="shared" si="18"/>
        <v>7.4543036108392158E-3</v>
      </c>
    </row>
    <row r="58" spans="1:17" ht="17" x14ac:dyDescent="0.2">
      <c r="B58" s="26" t="s">
        <v>126</v>
      </c>
      <c r="C58" s="87">
        <v>5.4354866820293855E-2</v>
      </c>
      <c r="D58" s="1">
        <f t="shared" si="19"/>
        <v>8.6967786912470171</v>
      </c>
      <c r="E58" s="1">
        <f t="shared" si="14"/>
        <v>60.877450838729118</v>
      </c>
      <c r="G58" s="31">
        <f>'Price list REWE '!E55</f>
        <v>4.9800000000000004</v>
      </c>
      <c r="H58" s="31">
        <f t="shared" si="15"/>
        <v>4.3309957882410148E-2</v>
      </c>
      <c r="J58" s="42">
        <f>'Price list REWE '!H55</f>
        <v>4.9800000000000004</v>
      </c>
      <c r="K58" s="42">
        <f t="shared" si="16"/>
        <v>4.3309957882410148E-2</v>
      </c>
      <c r="M58" s="31">
        <f>'Price list ALDI Süd'!E55</f>
        <v>3.98</v>
      </c>
      <c r="N58" s="31">
        <f t="shared" si="17"/>
        <v>3.4613179191163128E-2</v>
      </c>
      <c r="P58" s="42">
        <f>'Price list ALDI Süd'!H55</f>
        <v>3.98</v>
      </c>
      <c r="Q58" s="42">
        <f t="shared" si="18"/>
        <v>3.4613179191163128E-2</v>
      </c>
    </row>
    <row r="59" spans="1:17" x14ac:dyDescent="0.2">
      <c r="A59" s="9">
        <v>10</v>
      </c>
      <c r="B59" s="26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200</v>
      </c>
      <c r="E60" s="4">
        <f>D60*$E$10</f>
        <v>1400</v>
      </c>
      <c r="F60" s="4">
        <f>153*C4</f>
        <v>122.4</v>
      </c>
    </row>
    <row r="61" spans="1:17" ht="17" x14ac:dyDescent="0.2">
      <c r="B61" s="1" t="s">
        <v>129</v>
      </c>
      <c r="D61" s="1">
        <f>100*C4</f>
        <v>80</v>
      </c>
      <c r="E61" s="1">
        <f t="shared" ref="E61:E69" si="20">D61*$E$10</f>
        <v>560</v>
      </c>
      <c r="G61" s="31">
        <f>'Price list REWE '!E58</f>
        <v>1.05</v>
      </c>
      <c r="H61" s="31">
        <f t="shared" ref="H61:H69" si="21">G61/1000*D61</f>
        <v>8.4000000000000019E-2</v>
      </c>
      <c r="J61" s="42">
        <f>'Price list REWE '!H58</f>
        <v>1.25</v>
      </c>
      <c r="K61" s="42">
        <f t="shared" ref="K61:K69" si="22">J61/1000*D61</f>
        <v>0.1</v>
      </c>
      <c r="M61" s="31">
        <f>'Price list ALDI Süd'!E58</f>
        <v>1.05</v>
      </c>
      <c r="N61" s="31">
        <f t="shared" ref="N61:N69" si="23">M61/1000*D61</f>
        <v>8.4000000000000019E-2</v>
      </c>
      <c r="P61" s="42">
        <f>'Price list ALDI Süd'!H58</f>
        <v>1.25</v>
      </c>
      <c r="Q61" s="42">
        <f t="shared" ref="Q61:Q69" si="24">P61/1000*D61</f>
        <v>0.1</v>
      </c>
    </row>
    <row r="62" spans="1:17" ht="17" x14ac:dyDescent="0.2">
      <c r="B62" s="1" t="s">
        <v>132</v>
      </c>
      <c r="D62" s="1">
        <f>80*C4</f>
        <v>64</v>
      </c>
      <c r="E62" s="1">
        <f t="shared" si="20"/>
        <v>448</v>
      </c>
      <c r="G62" s="31">
        <f>'Price list REWE '!E59</f>
        <v>1.7</v>
      </c>
      <c r="H62" s="31">
        <f t="shared" si="21"/>
        <v>0.10879999999999999</v>
      </c>
      <c r="J62" s="42">
        <f>'Price list REWE '!H59</f>
        <v>2.38</v>
      </c>
      <c r="K62" s="42">
        <f t="shared" si="22"/>
        <v>0.15231999999999998</v>
      </c>
      <c r="M62" s="31">
        <f>'Price list ALDI Süd'!E59</f>
        <v>1.7</v>
      </c>
      <c r="N62" s="31">
        <f t="shared" si="23"/>
        <v>0.10879999999999999</v>
      </c>
      <c r="P62" s="42">
        <f>'Price list ALDI Süd'!H59</f>
        <v>2.38</v>
      </c>
      <c r="Q62" s="42">
        <f t="shared" si="24"/>
        <v>0.15231999999999998</v>
      </c>
    </row>
    <row r="63" spans="1:17" ht="17" x14ac:dyDescent="0.2">
      <c r="B63" s="1" t="s">
        <v>135</v>
      </c>
      <c r="D63" s="1">
        <f>10*C4</f>
        <v>8</v>
      </c>
      <c r="E63" s="1">
        <f t="shared" si="20"/>
        <v>56</v>
      </c>
      <c r="G63" s="31">
        <f>'Price list REWE '!E60</f>
        <v>4.63</v>
      </c>
      <c r="H63" s="31">
        <f t="shared" si="21"/>
        <v>3.7039999999999997E-2</v>
      </c>
      <c r="J63" s="42">
        <f>'Price list REWE '!H60</f>
        <v>7.37</v>
      </c>
      <c r="K63" s="42">
        <f t="shared" si="22"/>
        <v>5.8959999999999999E-2</v>
      </c>
      <c r="M63" s="31">
        <f>'Price list ALDI Süd'!E60</f>
        <v>4.63</v>
      </c>
      <c r="N63" s="31">
        <f t="shared" si="23"/>
        <v>3.7039999999999997E-2</v>
      </c>
      <c r="P63" s="42">
        <f>'Price list ALDI Süd'!H60</f>
        <v>7.37</v>
      </c>
      <c r="Q63" s="42">
        <f t="shared" si="24"/>
        <v>5.8959999999999999E-2</v>
      </c>
    </row>
    <row r="64" spans="1:17" ht="17" x14ac:dyDescent="0.2">
      <c r="B64" s="1" t="s">
        <v>138</v>
      </c>
      <c r="D64" s="1">
        <f>10*C4</f>
        <v>8</v>
      </c>
      <c r="E64" s="1">
        <f t="shared" si="20"/>
        <v>56</v>
      </c>
      <c r="G64" s="31">
        <f>'Price list REWE '!E61</f>
        <v>2.98</v>
      </c>
      <c r="H64" s="31">
        <f t="shared" si="21"/>
        <v>2.384E-2</v>
      </c>
      <c r="J64" s="42">
        <f>'Price list REWE '!H61</f>
        <v>4.2</v>
      </c>
      <c r="K64" s="42">
        <f t="shared" si="22"/>
        <v>3.3600000000000005E-2</v>
      </c>
      <c r="M64" s="31">
        <f>'Price list ALDI Süd'!E61</f>
        <v>2.8</v>
      </c>
      <c r="N64" s="31">
        <f t="shared" si="23"/>
        <v>2.24E-2</v>
      </c>
      <c r="P64" s="42">
        <f>'Price list ALDI Süd'!H61</f>
        <v>4.2</v>
      </c>
      <c r="Q64" s="42">
        <f t="shared" si="24"/>
        <v>3.3600000000000005E-2</v>
      </c>
    </row>
    <row r="65" spans="1:17" ht="19" customHeight="1" x14ac:dyDescent="0.2">
      <c r="B65" s="1" t="s">
        <v>141</v>
      </c>
      <c r="D65" s="1">
        <f>10*C4</f>
        <v>8</v>
      </c>
      <c r="E65" s="1">
        <f t="shared" si="20"/>
        <v>56</v>
      </c>
      <c r="G65" s="31">
        <f>'Price list REWE '!E62</f>
        <v>7.92</v>
      </c>
      <c r="H65" s="31">
        <f t="shared" si="21"/>
        <v>6.336E-2</v>
      </c>
      <c r="J65" s="42">
        <f>'Price list REWE '!H62</f>
        <v>10.32</v>
      </c>
      <c r="K65" s="42">
        <f t="shared" si="22"/>
        <v>8.2560000000000008E-2</v>
      </c>
      <c r="M65" s="31">
        <f>'Price list ALDI Süd'!E62</f>
        <v>7.92</v>
      </c>
      <c r="N65" s="31">
        <f t="shared" si="23"/>
        <v>6.336E-2</v>
      </c>
      <c r="P65" s="42">
        <f>'Price list ALDI Süd'!H62</f>
        <v>10.32</v>
      </c>
      <c r="Q65" s="42">
        <f t="shared" si="24"/>
        <v>8.2560000000000008E-2</v>
      </c>
    </row>
    <row r="66" spans="1:17" ht="17" x14ac:dyDescent="0.2">
      <c r="B66" s="1" t="s">
        <v>144</v>
      </c>
      <c r="D66" s="1">
        <f>10*C4</f>
        <v>8</v>
      </c>
      <c r="E66" s="1">
        <f t="shared" si="20"/>
        <v>56</v>
      </c>
      <c r="G66" s="31">
        <f>'Price list REWE '!E63</f>
        <v>3.45</v>
      </c>
      <c r="H66" s="31">
        <f t="shared" si="21"/>
        <v>2.7600000000000003E-2</v>
      </c>
      <c r="J66" s="42">
        <f>'Price list REWE '!H63</f>
        <v>4.45</v>
      </c>
      <c r="K66" s="42">
        <f t="shared" si="22"/>
        <v>3.56E-2</v>
      </c>
      <c r="M66" s="31">
        <f>'Price list ALDI Süd'!E63</f>
        <v>3.45</v>
      </c>
      <c r="N66" s="31">
        <f t="shared" si="23"/>
        <v>2.7600000000000003E-2</v>
      </c>
      <c r="P66" s="42">
        <f>'Price list ALDI Süd'!H63</f>
        <v>4.25</v>
      </c>
      <c r="Q66" s="42">
        <f t="shared" si="24"/>
        <v>3.4000000000000002E-2</v>
      </c>
    </row>
    <row r="67" spans="1:17" ht="34" x14ac:dyDescent="0.2">
      <c r="B67" s="1" t="s">
        <v>401</v>
      </c>
      <c r="D67" s="1">
        <f>10*C4</f>
        <v>8</v>
      </c>
      <c r="E67" s="1">
        <f t="shared" si="20"/>
        <v>56</v>
      </c>
      <c r="G67" s="31">
        <f>'Price list REWE '!E64</f>
        <v>7.48</v>
      </c>
      <c r="H67" s="31">
        <f t="shared" si="21"/>
        <v>5.9840000000000004E-2</v>
      </c>
      <c r="J67" s="42">
        <f>'Price list REWE '!H64</f>
        <v>12.6</v>
      </c>
      <c r="K67" s="42">
        <f t="shared" si="22"/>
        <v>0.1008</v>
      </c>
      <c r="M67" s="31">
        <f>'Price list ALDI Süd'!E64</f>
        <v>9.9600000000000009</v>
      </c>
      <c r="N67" s="31">
        <f t="shared" si="23"/>
        <v>7.9680000000000001E-2</v>
      </c>
      <c r="P67" s="42">
        <f>'Price list ALDI Süd'!H64</f>
        <v>10.95</v>
      </c>
      <c r="Q67" s="42">
        <f t="shared" si="24"/>
        <v>8.7599999999999997E-2</v>
      </c>
    </row>
    <row r="68" spans="1:17" ht="34" x14ac:dyDescent="0.2">
      <c r="B68" s="1" t="s">
        <v>402</v>
      </c>
      <c r="D68" s="1">
        <f>10*C4</f>
        <v>8</v>
      </c>
      <c r="E68" s="1">
        <f t="shared" si="20"/>
        <v>56</v>
      </c>
      <c r="G68" s="31">
        <f>'Price list REWE '!E65</f>
        <v>11.56</v>
      </c>
      <c r="H68" s="31">
        <f t="shared" si="21"/>
        <v>9.2480000000000007E-2</v>
      </c>
      <c r="J68" s="42">
        <f>'Price list REWE '!H65</f>
        <v>14.6</v>
      </c>
      <c r="K68" s="42">
        <f t="shared" si="22"/>
        <v>0.1168</v>
      </c>
      <c r="M68" s="31">
        <f>'Price list ALDI Süd'!E65</f>
        <v>11.56</v>
      </c>
      <c r="N68" s="31">
        <f t="shared" si="23"/>
        <v>9.2480000000000007E-2</v>
      </c>
      <c r="P68" s="42">
        <f>'Price list ALDI Süd'!H65</f>
        <v>14.6</v>
      </c>
      <c r="Q68" s="42">
        <f t="shared" si="24"/>
        <v>0.1168</v>
      </c>
    </row>
    <row r="69" spans="1:17" ht="17" x14ac:dyDescent="0.2">
      <c r="B69" s="1" t="s">
        <v>403</v>
      </c>
      <c r="D69" s="1">
        <f>10*C4</f>
        <v>8</v>
      </c>
      <c r="E69" s="1">
        <f t="shared" si="20"/>
        <v>56</v>
      </c>
      <c r="G69" s="31">
        <f>'Price list REWE '!E66</f>
        <v>9.9499999999999993</v>
      </c>
      <c r="H69" s="31">
        <f t="shared" si="21"/>
        <v>7.959999999999999E-2</v>
      </c>
      <c r="J69" s="42">
        <f>'Price list REWE '!H66</f>
        <v>13.27</v>
      </c>
      <c r="K69" s="42">
        <f t="shared" si="22"/>
        <v>0.10615999999999999</v>
      </c>
      <c r="M69" s="31">
        <f>'Price list ALDI Süd'!E66</f>
        <v>9.9499999999999993</v>
      </c>
      <c r="N69" s="31">
        <f t="shared" si="23"/>
        <v>7.959999999999999E-2</v>
      </c>
      <c r="P69" s="42">
        <f>'Price list ALDI Süd'!H66</f>
        <v>13.28</v>
      </c>
      <c r="Q69" s="42">
        <f t="shared" si="24"/>
        <v>0.10624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E71/7*C4</f>
        <v>0.70000000000000007</v>
      </c>
      <c r="E71" s="4">
        <v>6.125</v>
      </c>
      <c r="F71" s="4">
        <f>15*C4</f>
        <v>12</v>
      </c>
    </row>
    <row r="72" spans="1:17" ht="17" x14ac:dyDescent="0.2">
      <c r="B72" s="1" t="s">
        <v>158</v>
      </c>
      <c r="D72" s="1">
        <f>E72/7*C4</f>
        <v>0.70000000000000007</v>
      </c>
      <c r="E72" s="1">
        <v>6.125</v>
      </c>
      <c r="G72" s="31">
        <f>'Price list REWE '!E69</f>
        <v>13.96</v>
      </c>
      <c r="H72" s="31">
        <f>G72/1000*D72</f>
        <v>9.7720000000000012E-3</v>
      </c>
      <c r="J72" s="42">
        <f>'Price list REWE '!H69</f>
        <v>15.9</v>
      </c>
      <c r="K72" s="42">
        <f>J72/1000*D72</f>
        <v>1.1130000000000001E-2</v>
      </c>
      <c r="M72" s="31">
        <f>'Price list ALDI Süd'!E69</f>
        <v>9.7799999999999994</v>
      </c>
      <c r="N72" s="31">
        <f>M72/1000*D72</f>
        <v>6.8459999999999997E-3</v>
      </c>
      <c r="P72" s="42">
        <f>'Price list ALDI Süd'!H69</f>
        <v>11.98</v>
      </c>
      <c r="Q72" s="42">
        <f>P72/1000*D72</f>
        <v>8.3860000000000011E-3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E74/7*C4</f>
        <v>0.70000000000000007</v>
      </c>
      <c r="E74" s="4">
        <v>6.125</v>
      </c>
      <c r="F74" s="4">
        <f>15*C4</f>
        <v>12</v>
      </c>
    </row>
    <row r="75" spans="1:17" ht="17" x14ac:dyDescent="0.2">
      <c r="B75" s="1" t="s">
        <v>162</v>
      </c>
      <c r="D75" s="1">
        <f>E75/7*C4</f>
        <v>0.70000000000000007</v>
      </c>
      <c r="E75" s="1">
        <v>6.125</v>
      </c>
      <c r="G75" s="31">
        <f>'Price list REWE '!E72</f>
        <v>8.98</v>
      </c>
      <c r="H75" s="31">
        <f>G75/1000*D75</f>
        <v>6.2860000000000008E-3</v>
      </c>
      <c r="J75" s="42">
        <f>'Price list REWE '!H72</f>
        <v>29.9</v>
      </c>
      <c r="K75" s="42">
        <f>J75/1000*D75</f>
        <v>2.0930000000000001E-2</v>
      </c>
      <c r="M75" s="31">
        <f>'Price list ALDI Süd'!E72</f>
        <v>8.98</v>
      </c>
      <c r="N75" s="31">
        <f>M75/1000*D75</f>
        <v>6.2860000000000008E-3</v>
      </c>
      <c r="P75" s="42">
        <f>'Price list ALDI Süd'!H72</f>
        <v>17.96</v>
      </c>
      <c r="Q75" s="42">
        <f>P75/1000*D75</f>
        <v>1.2572000000000002E-2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E77/7*C4</f>
        <v>2.9000000000000004</v>
      </c>
      <c r="E77" s="4">
        <v>25.375</v>
      </c>
      <c r="F77" s="4">
        <f>62*C4</f>
        <v>49.6</v>
      </c>
    </row>
    <row r="78" spans="1:17" ht="17" x14ac:dyDescent="0.2">
      <c r="B78" s="1" t="s">
        <v>166</v>
      </c>
      <c r="D78" s="1">
        <f>E78/7*C4</f>
        <v>2.9000000000000004</v>
      </c>
      <c r="E78" s="1">
        <v>25.375</v>
      </c>
      <c r="G78" s="31">
        <f>'Price list REWE '!E75</f>
        <v>9.98</v>
      </c>
      <c r="H78" s="31">
        <f>G78/1000*D78</f>
        <v>2.8942000000000006E-2</v>
      </c>
      <c r="J78" s="42">
        <f>'Price list REWE '!H75</f>
        <v>34.9</v>
      </c>
      <c r="K78" s="42">
        <f>J78/1000*D78</f>
        <v>0.10121000000000001</v>
      </c>
      <c r="M78" s="31">
        <f>'Price list ALDI Süd'!E75</f>
        <v>9.98</v>
      </c>
      <c r="N78" s="31">
        <f>M78/1000*D78</f>
        <v>2.8942000000000006E-2</v>
      </c>
      <c r="P78" s="42">
        <f>'Price list ALDI Süd'!H75</f>
        <v>24.99</v>
      </c>
      <c r="Q78" s="42">
        <f>P78/1000*D78</f>
        <v>7.2471000000000008E-2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10.4</v>
      </c>
      <c r="E80" s="4">
        <f>D80*E10</f>
        <v>72.8</v>
      </c>
      <c r="F80" s="4">
        <f>19*C4</f>
        <v>15.200000000000001</v>
      </c>
    </row>
    <row r="81" spans="1:17" ht="17" x14ac:dyDescent="0.2">
      <c r="A81" s="1"/>
      <c r="B81" s="1" t="s">
        <v>170</v>
      </c>
      <c r="D81" s="1">
        <f>13*C4</f>
        <v>10.4</v>
      </c>
      <c r="E81" s="1">
        <f>D81*7</f>
        <v>72.8</v>
      </c>
      <c r="G81" s="31">
        <f>'Price list REWE '!E78</f>
        <v>3.98</v>
      </c>
      <c r="H81" s="31">
        <f>G81/1000*D81</f>
        <v>4.1392000000000005E-2</v>
      </c>
      <c r="J81" s="42">
        <f>'Price list REWE '!H78</f>
        <v>7.9666666666666677</v>
      </c>
      <c r="K81" s="42">
        <f>J81/1000*D81</f>
        <v>8.2853333333333334E-2</v>
      </c>
      <c r="M81" s="31">
        <f>'Price list ALDI Süd'!E78</f>
        <v>3.98</v>
      </c>
      <c r="N81" s="31">
        <f>M81/1000*D81</f>
        <v>4.1392000000000005E-2</v>
      </c>
      <c r="P81" s="42">
        <f>'Price list ALDI Süd'!H78</f>
        <v>6.38</v>
      </c>
      <c r="Q81" s="42">
        <f>P81/1000*D81</f>
        <v>6.6352000000000008E-2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E83/7*C4</f>
        <v>2.8000000000000003</v>
      </c>
      <c r="E83" s="4">
        <f>24.5</f>
        <v>24.5</v>
      </c>
      <c r="F83" s="4">
        <f>40*C4</f>
        <v>32</v>
      </c>
    </row>
    <row r="84" spans="1:17" ht="17" x14ac:dyDescent="0.2">
      <c r="B84" s="1" t="s">
        <v>174</v>
      </c>
      <c r="D84" s="1">
        <f>D83/3</f>
        <v>0.93333333333333346</v>
      </c>
      <c r="E84" s="1">
        <f>D84*7</f>
        <v>6.5333333333333341</v>
      </c>
      <c r="G84" s="31">
        <f>'Price list REWE '!E81</f>
        <v>23.96</v>
      </c>
      <c r="H84" s="31">
        <f>G84/1000*D84</f>
        <v>2.2362666666666673E-2</v>
      </c>
      <c r="J84" s="42">
        <f>'Price list REWE '!H81</f>
        <v>31.96</v>
      </c>
      <c r="K84" s="42">
        <f>J84/1000*D84</f>
        <v>2.982933333333334E-2</v>
      </c>
      <c r="M84" s="31">
        <f>'Price list ALDI Süd'!E81</f>
        <v>23.96</v>
      </c>
      <c r="N84" s="31">
        <f>M84/1000*D84</f>
        <v>2.2362666666666673E-2</v>
      </c>
      <c r="P84" s="42">
        <f>'Price list ALDI Süd'!H81</f>
        <v>31.96</v>
      </c>
      <c r="Q84" s="42">
        <f>P84/1000*D84</f>
        <v>2.982933333333334E-2</v>
      </c>
    </row>
    <row r="85" spans="1:17" ht="17" x14ac:dyDescent="0.2">
      <c r="B85" s="1" t="s">
        <v>177</v>
      </c>
      <c r="D85" s="1">
        <f>D83/3</f>
        <v>0.93333333333333346</v>
      </c>
      <c r="E85" s="1">
        <f>D85*7</f>
        <v>6.5333333333333341</v>
      </c>
      <c r="G85" s="31">
        <f>'Price list REWE '!E82</f>
        <v>7.49</v>
      </c>
      <c r="H85" s="31">
        <f>G85/1000*D85</f>
        <v>6.9906666666666676E-3</v>
      </c>
      <c r="J85" s="42">
        <f>'Price list REWE '!H82</f>
        <v>7.49</v>
      </c>
      <c r="K85" s="42">
        <f>J85/1000*D85</f>
        <v>6.9906666666666676E-3</v>
      </c>
      <c r="M85" s="31">
        <f>'Price list ALDI Süd'!E82</f>
        <v>7.49</v>
      </c>
      <c r="N85" s="31">
        <f>M85/1000*D85</f>
        <v>6.9906666666666676E-3</v>
      </c>
      <c r="P85" s="42">
        <f>'Price list ALDI Süd'!H82</f>
        <v>7.49</v>
      </c>
      <c r="Q85" s="42">
        <f>P85/1000*D85</f>
        <v>6.9906666666666676E-3</v>
      </c>
    </row>
    <row r="86" spans="1:17" ht="17" x14ac:dyDescent="0.2">
      <c r="B86" s="1" t="s">
        <v>179</v>
      </c>
      <c r="D86" s="1">
        <f>D83/3</f>
        <v>0.93333333333333346</v>
      </c>
      <c r="E86" s="1">
        <f>D86*7</f>
        <v>6.5333333333333341</v>
      </c>
      <c r="G86" s="31">
        <f>'Price list REWE '!E83</f>
        <v>7.6410256410256414</v>
      </c>
      <c r="H86" s="31">
        <f>G86/1000*D86</f>
        <v>7.1316239316239326E-3</v>
      </c>
      <c r="J86" s="42">
        <f>'Price list REWE '!H83</f>
        <v>20.5625</v>
      </c>
      <c r="K86" s="42">
        <f>J86/1000*D86</f>
        <v>1.9191666666666669E-2</v>
      </c>
      <c r="M86" s="31">
        <f>'Price list ALDI Süd'!E83</f>
        <v>7.6410256410256414</v>
      </c>
      <c r="N86" s="31">
        <f>M86/1000*D86</f>
        <v>7.1316239316239326E-3</v>
      </c>
      <c r="P86" s="42">
        <f>'Price list ALDI Süd'!H83</f>
        <v>20.5625</v>
      </c>
      <c r="Q86" s="42">
        <f>P86/1000*D86</f>
        <v>1.9191666666666669E-2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E88/7*C4</f>
        <v>48.571428571428577</v>
      </c>
      <c r="E88" s="4">
        <f>350+50+25</f>
        <v>425</v>
      </c>
      <c r="F88" s="4">
        <f>172*C4</f>
        <v>137.6</v>
      </c>
    </row>
    <row r="89" spans="1:17" ht="17" x14ac:dyDescent="0.2">
      <c r="B89" s="1" t="s">
        <v>183</v>
      </c>
      <c r="D89" s="1">
        <f t="shared" ref="D89:D94" si="25">$D$88/6</f>
        <v>8.0952380952380967</v>
      </c>
      <c r="E89" s="1">
        <f t="shared" ref="E89:E94" si="26">D89*$E$10</f>
        <v>56.666666666666679</v>
      </c>
      <c r="G89" s="31">
        <f>'Price list REWE '!E86</f>
        <v>4.58</v>
      </c>
      <c r="H89" s="31">
        <f t="shared" ref="H89:H94" si="27">G89/1000*D89</f>
        <v>3.7076190476190485E-2</v>
      </c>
      <c r="J89" s="42">
        <f>'Price list REWE '!H86</f>
        <v>3.3</v>
      </c>
      <c r="K89" s="42">
        <f t="shared" ref="K89:K94" si="28">J89/1000*D89</f>
        <v>2.6714285714285718E-2</v>
      </c>
      <c r="M89" s="31">
        <f>'Price list ALDI Süd'!E86</f>
        <v>3.98</v>
      </c>
      <c r="N89" s="31">
        <f t="shared" ref="N89:N94" si="29">M89/1000*D89</f>
        <v>3.2219047619047626E-2</v>
      </c>
      <c r="P89" s="42">
        <f>'Price list ALDI Süd'!H86</f>
        <v>3.3</v>
      </c>
      <c r="Q89" s="42">
        <f t="shared" ref="Q89:Q94" si="30">P89/1000*D89</f>
        <v>2.6714285714285718E-2</v>
      </c>
    </row>
    <row r="90" spans="1:17" ht="17" x14ac:dyDescent="0.2">
      <c r="B90" s="1" t="s">
        <v>186</v>
      </c>
      <c r="D90" s="1">
        <f t="shared" si="25"/>
        <v>8.0952380952380967</v>
      </c>
      <c r="E90" s="1">
        <f t="shared" si="26"/>
        <v>56.666666666666679</v>
      </c>
      <c r="G90" s="31">
        <f>'Price list REWE '!E87</f>
        <v>2.9749999999999996</v>
      </c>
      <c r="H90" s="31">
        <f t="shared" si="27"/>
        <v>2.4083333333333335E-2</v>
      </c>
      <c r="J90" s="42">
        <f>'Price list REWE '!H87</f>
        <v>3.5833333333333335</v>
      </c>
      <c r="K90" s="42">
        <f t="shared" si="28"/>
        <v>2.9007936507936514E-2</v>
      </c>
      <c r="M90" s="31">
        <f>'Price list ALDI Süd'!E87</f>
        <v>2.9749999999999996</v>
      </c>
      <c r="N90" s="31">
        <f t="shared" si="29"/>
        <v>2.4083333333333335E-2</v>
      </c>
      <c r="P90" s="42">
        <f>'Price list ALDI Süd'!H87</f>
        <v>3.5833333333333335</v>
      </c>
      <c r="Q90" s="42">
        <f t="shared" si="30"/>
        <v>2.9007936507936514E-2</v>
      </c>
    </row>
    <row r="91" spans="1:17" ht="17" x14ac:dyDescent="0.2">
      <c r="B91" s="1" t="s">
        <v>189</v>
      </c>
      <c r="D91" s="1">
        <f t="shared" si="25"/>
        <v>8.0952380952380967</v>
      </c>
      <c r="E91" s="1">
        <f t="shared" si="26"/>
        <v>56.666666666666679</v>
      </c>
      <c r="G91" s="31">
        <f>'Price list REWE '!E88</f>
        <v>1.7249999999999999</v>
      </c>
      <c r="H91" s="31">
        <f t="shared" si="27"/>
        <v>1.3964285714285717E-2</v>
      </c>
      <c r="J91" s="42">
        <f>'Price list REWE '!H88</f>
        <v>2.75</v>
      </c>
      <c r="K91" s="42">
        <f t="shared" si="28"/>
        <v>2.2261904761904764E-2</v>
      </c>
      <c r="M91" s="31">
        <f>'Price list ALDI Süd'!E88</f>
        <v>1.7249999999999999</v>
      </c>
      <c r="N91" s="31">
        <f t="shared" si="29"/>
        <v>1.3964285714285717E-2</v>
      </c>
      <c r="P91" s="42">
        <f>'Price list ALDI Süd'!H88</f>
        <v>2.75</v>
      </c>
      <c r="Q91" s="42">
        <f t="shared" si="30"/>
        <v>2.2261904761904764E-2</v>
      </c>
    </row>
    <row r="92" spans="1:17" ht="17" x14ac:dyDescent="0.2">
      <c r="B92" s="1" t="s">
        <v>192</v>
      </c>
      <c r="D92" s="1">
        <f t="shared" si="25"/>
        <v>8.0952380952380967</v>
      </c>
      <c r="E92" s="1">
        <f t="shared" si="26"/>
        <v>56.666666666666679</v>
      </c>
      <c r="G92" s="31">
        <f>'Price list REWE '!E89</f>
        <v>1.99</v>
      </c>
      <c r="H92" s="31">
        <f t="shared" si="27"/>
        <v>1.6109523809523813E-2</v>
      </c>
      <c r="J92" s="42">
        <f>'Price list REWE '!H89</f>
        <v>3.98</v>
      </c>
      <c r="K92" s="42">
        <f t="shared" si="28"/>
        <v>3.2219047619047626E-2</v>
      </c>
      <c r="M92" s="31">
        <f>'Price list ALDI Süd'!E89</f>
        <v>1.99</v>
      </c>
      <c r="N92" s="31">
        <f t="shared" si="29"/>
        <v>1.6109523809523813E-2</v>
      </c>
      <c r="P92" s="42">
        <f>'Price list ALDI Süd'!H89</f>
        <v>3.32</v>
      </c>
      <c r="Q92" s="42">
        <f t="shared" si="30"/>
        <v>2.6876190476190481E-2</v>
      </c>
    </row>
    <row r="93" spans="1:17" ht="17" x14ac:dyDescent="0.2">
      <c r="B93" s="1" t="s">
        <v>622</v>
      </c>
      <c r="D93" s="1">
        <f t="shared" si="25"/>
        <v>8.0952380952380967</v>
      </c>
      <c r="E93" s="1">
        <f t="shared" si="26"/>
        <v>56.666666666666679</v>
      </c>
      <c r="G93" s="31">
        <f>'Price list REWE '!E90</f>
        <v>1.7249999999999999</v>
      </c>
      <c r="H93" s="31">
        <f t="shared" si="27"/>
        <v>1.3964285714285717E-2</v>
      </c>
      <c r="J93" s="42">
        <f>'Price list REWE '!H90</f>
        <v>3</v>
      </c>
      <c r="K93" s="42">
        <f t="shared" si="28"/>
        <v>2.4285714285714289E-2</v>
      </c>
      <c r="M93" s="31">
        <f>'Price list ALDI Süd'!E90</f>
        <v>1.7249999999999999</v>
      </c>
      <c r="N93" s="31">
        <f t="shared" si="29"/>
        <v>1.3964285714285717E-2</v>
      </c>
      <c r="P93" s="42">
        <f>'Price list ALDI Süd'!H90</f>
        <v>2.75</v>
      </c>
      <c r="Q93" s="42">
        <f t="shared" si="30"/>
        <v>2.2261904761904764E-2</v>
      </c>
    </row>
    <row r="94" spans="1:17" ht="17" x14ac:dyDescent="0.2">
      <c r="A94" s="1"/>
      <c r="B94" s="1" t="s">
        <v>623</v>
      </c>
      <c r="D94" s="1">
        <f t="shared" si="25"/>
        <v>8.0952380952380967</v>
      </c>
      <c r="E94" s="1">
        <f t="shared" si="26"/>
        <v>56.666666666666679</v>
      </c>
      <c r="G94" s="31">
        <f>'Price list REWE '!E91</f>
        <v>2.0441176470588234</v>
      </c>
      <c r="H94" s="31">
        <f t="shared" si="27"/>
        <v>1.6547619047619051E-2</v>
      </c>
      <c r="J94" s="42">
        <f>'Price list REWE '!H91</f>
        <v>2.0441176470588234</v>
      </c>
      <c r="K94" s="42">
        <f t="shared" si="28"/>
        <v>1.6547619047619051E-2</v>
      </c>
      <c r="M94" s="31">
        <f>'Price list ALDI Süd'!E91</f>
        <v>3.3559322033898304</v>
      </c>
      <c r="N94" s="31">
        <f t="shared" si="29"/>
        <v>2.7167070217917678E-2</v>
      </c>
      <c r="P94" s="42">
        <f>'Price list ALDI Süd'!H91</f>
        <v>3.3559322033898304</v>
      </c>
      <c r="Q94" s="42">
        <f t="shared" si="30"/>
        <v>2.7167070217917678E-2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E96/7*C4</f>
        <v>33.714285714285715</v>
      </c>
      <c r="E96" s="4">
        <f>175+60+60</f>
        <v>295</v>
      </c>
      <c r="F96" s="4">
        <f>112*C4</f>
        <v>89.600000000000009</v>
      </c>
    </row>
    <row r="97" spans="1:17" ht="17" x14ac:dyDescent="0.2">
      <c r="B97" s="1" t="s">
        <v>201</v>
      </c>
      <c r="D97" s="1">
        <f>D96/2</f>
        <v>16.857142857142858</v>
      </c>
      <c r="E97" s="1">
        <f>D97*7</f>
        <v>118</v>
      </c>
      <c r="G97" s="31">
        <f>'Price list REWE '!E94</f>
        <v>5.48</v>
      </c>
      <c r="H97" s="31">
        <f>G97/1000*D97</f>
        <v>9.2377142857142866E-2</v>
      </c>
      <c r="J97" s="42">
        <f>'Price list REWE '!H94</f>
        <v>5.48</v>
      </c>
      <c r="K97" s="42">
        <f>J97/1000*D97</f>
        <v>9.2377142857142866E-2</v>
      </c>
      <c r="M97" s="31">
        <f>'Price list ALDI Süd'!E94</f>
        <v>5.48</v>
      </c>
      <c r="N97" s="31">
        <f>M97/1000*D97</f>
        <v>9.2377142857142866E-2</v>
      </c>
      <c r="P97" s="42">
        <f>'Price list ALDI Süd'!H94</f>
        <v>5.48</v>
      </c>
      <c r="Q97" s="42">
        <f>P97/1000*D97</f>
        <v>9.2377142857142866E-2</v>
      </c>
    </row>
    <row r="98" spans="1:17" ht="17" x14ac:dyDescent="0.2">
      <c r="B98" s="1" t="s">
        <v>203</v>
      </c>
      <c r="D98" s="1">
        <f>D96/2</f>
        <v>16.857142857142858</v>
      </c>
      <c r="E98" s="1">
        <f>D98*7</f>
        <v>118</v>
      </c>
      <c r="G98" s="31">
        <f>'Price list REWE '!E95</f>
        <v>6.26</v>
      </c>
      <c r="H98" s="31">
        <f>G98/1000*D98</f>
        <v>0.10552571428571429</v>
      </c>
      <c r="J98" s="42">
        <f>'Price list REWE '!H95</f>
        <v>6.26</v>
      </c>
      <c r="K98" s="42">
        <f>J98/1000*D98</f>
        <v>0.10552571428571429</v>
      </c>
      <c r="M98" s="31">
        <f>'Price list ALDI Süd'!E95</f>
        <v>6.26</v>
      </c>
      <c r="N98" s="31">
        <f>M98/1000*D98</f>
        <v>0.10552571428571429</v>
      </c>
      <c r="P98" s="42">
        <f>'Price list ALDI Süd'!H95</f>
        <v>6.26</v>
      </c>
      <c r="Q98" s="42">
        <f>P98/1000*D98</f>
        <v>0.10552571428571429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113.60000000000001</v>
      </c>
    </row>
    <row r="102" spans="1:17" ht="17" x14ac:dyDescent="0.2">
      <c r="B102" s="1" t="s">
        <v>207</v>
      </c>
      <c r="D102" s="1">
        <f>25*C4</f>
        <v>20</v>
      </c>
      <c r="E102" s="1">
        <f>D102*E10</f>
        <v>140</v>
      </c>
      <c r="G102" s="31">
        <f>'Price list REWE '!E99</f>
        <v>4.9800000000000004</v>
      </c>
      <c r="H102" s="31">
        <f>G102/1000*D102</f>
        <v>9.9599999999999994E-2</v>
      </c>
      <c r="J102" s="42">
        <f>'Price list REWE '!H99</f>
        <v>4.9800000000000004</v>
      </c>
      <c r="K102" s="42">
        <f>J102/1000*D102</f>
        <v>9.9599999999999994E-2</v>
      </c>
      <c r="M102" s="31">
        <f>'Price list ALDI Süd'!E99</f>
        <v>4.9800000000000004</v>
      </c>
      <c r="N102" s="31">
        <f>M102/1000*D102</f>
        <v>9.9599999999999994E-2</v>
      </c>
      <c r="P102" s="42">
        <f>'Price list ALDI Süd'!H99</f>
        <v>4.9800000000000004</v>
      </c>
      <c r="Q102" s="42">
        <f>P102/1000*D102</f>
        <v>9.9599999999999994E-2</v>
      </c>
    </row>
    <row r="103" spans="1:17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20</v>
      </c>
      <c r="E104" s="8">
        <f>D104*7</f>
        <v>140</v>
      </c>
      <c r="F104" s="8">
        <f>149*C4</f>
        <v>119.2</v>
      </c>
    </row>
    <row r="105" spans="1:17" ht="17" x14ac:dyDescent="0.2">
      <c r="B105" s="1" t="s">
        <v>210</v>
      </c>
      <c r="D105" s="7">
        <f>D104/2</f>
        <v>10</v>
      </c>
      <c r="E105" s="1">
        <f>D105*7</f>
        <v>70</v>
      </c>
      <c r="G105" s="31">
        <f>'Price list REWE '!E102</f>
        <v>11.45</v>
      </c>
      <c r="H105" s="31">
        <f>G105/1000*D105</f>
        <v>0.1145</v>
      </c>
      <c r="J105" s="42">
        <f>'Price list REWE '!H102</f>
        <v>17.95</v>
      </c>
      <c r="K105" s="42">
        <f>J105/1000*D105</f>
        <v>0.17949999999999999</v>
      </c>
      <c r="M105" s="31">
        <f>'Price list ALDI Süd'!E102</f>
        <v>11.45</v>
      </c>
      <c r="N105" s="31">
        <f>M105/1000*D105</f>
        <v>0.1145</v>
      </c>
      <c r="P105" s="42">
        <f>'Price list ALDI Süd'!H102</f>
        <v>14.75</v>
      </c>
      <c r="Q105" s="42">
        <f>P105/1000*D105</f>
        <v>0.14749999999999999</v>
      </c>
    </row>
    <row r="106" spans="1:17" ht="17" x14ac:dyDescent="0.2">
      <c r="B106" s="1" t="s">
        <v>213</v>
      </c>
      <c r="D106" s="7">
        <f>D104/2</f>
        <v>10</v>
      </c>
      <c r="E106" s="1">
        <f>D106*7</f>
        <v>70</v>
      </c>
      <c r="F106" s="7"/>
      <c r="G106" s="31">
        <f>'Price list REWE '!E103</f>
        <v>11.45</v>
      </c>
      <c r="H106" s="31">
        <f>G106/1000*D106</f>
        <v>0.1145</v>
      </c>
      <c r="J106" s="42">
        <f>'Price list REWE '!H103</f>
        <v>11.45</v>
      </c>
      <c r="K106" s="42">
        <f>J106/1000*D106</f>
        <v>0.1145</v>
      </c>
      <c r="M106" s="31">
        <f>'Price list ALDI Süd'!E103</f>
        <v>11.45</v>
      </c>
      <c r="N106" s="31">
        <f>M106/1000*D106</f>
        <v>0.1145</v>
      </c>
      <c r="P106" s="42">
        <f>'Price list ALDI Süd'!H103</f>
        <v>11.45</v>
      </c>
      <c r="Q106" s="42">
        <f>P106/1000*D106</f>
        <v>0.1145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5.44</v>
      </c>
      <c r="E108" s="8">
        <f>D108*7</f>
        <v>38.080000000000005</v>
      </c>
      <c r="F108" s="8">
        <f>60*C4</f>
        <v>48</v>
      </c>
    </row>
    <row r="109" spans="1:17" ht="17" x14ac:dyDescent="0.2">
      <c r="B109" s="1" t="s">
        <v>216</v>
      </c>
      <c r="D109" s="1">
        <f>D108</f>
        <v>5.44</v>
      </c>
      <c r="E109" s="1">
        <f>D109*7</f>
        <v>38.080000000000005</v>
      </c>
      <c r="F109" s="7"/>
      <c r="G109" s="31">
        <f>'Price list REWE '!E106</f>
        <v>2.98</v>
      </c>
      <c r="H109" s="31">
        <f>G109/1000*D109</f>
        <v>1.6211200000000002E-2</v>
      </c>
      <c r="J109" s="42">
        <f>'Price list REWE '!H106</f>
        <v>7.16</v>
      </c>
      <c r="K109" s="42">
        <f>J109/1000*D109</f>
        <v>3.8950400000000003E-2</v>
      </c>
      <c r="M109" s="31">
        <f>'Price list ALDI Süd'!E106</f>
        <v>3.38</v>
      </c>
      <c r="N109" s="31">
        <f>M109/1000*D109</f>
        <v>1.8387199999999999E-2</v>
      </c>
      <c r="P109" s="42">
        <f>'Price list ALDI Süd'!H106</f>
        <v>7.16</v>
      </c>
      <c r="Q109" s="42">
        <f>P109/1000*D109</f>
        <v>3.8950400000000003E-2</v>
      </c>
    </row>
    <row r="110" spans="1:17" x14ac:dyDescent="0.2">
      <c r="A110" s="9">
        <v>1</v>
      </c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32</v>
      </c>
      <c r="E111" s="8">
        <f>D111*7</f>
        <v>224</v>
      </c>
      <c r="F111" s="8">
        <f>354*C4</f>
        <v>283.2</v>
      </c>
    </row>
    <row r="112" spans="1:17" ht="17" x14ac:dyDescent="0.2">
      <c r="B112" s="1" t="s">
        <v>220</v>
      </c>
      <c r="D112" s="1">
        <f>$D$111/3</f>
        <v>10.666666666666666</v>
      </c>
      <c r="E112" s="7">
        <f>D112*7</f>
        <v>74.666666666666657</v>
      </c>
      <c r="G112" s="31">
        <f>'Price list REWE '!E109</f>
        <v>3.78</v>
      </c>
      <c r="H112" s="31">
        <f>G112/1000*D112</f>
        <v>4.0319999999999995E-2</v>
      </c>
      <c r="J112" s="42">
        <f>'Price list REWE '!H109</f>
        <v>3.5</v>
      </c>
      <c r="K112" s="42">
        <f>J112/1000*D112</f>
        <v>3.7333333333333329E-2</v>
      </c>
      <c r="M112" s="31">
        <f>'Price list ALDI Süd'!E109</f>
        <v>1.851</v>
      </c>
      <c r="N112" s="31">
        <f>M112/1000*D112</f>
        <v>1.9743999999999998E-2</v>
      </c>
      <c r="P112" s="42">
        <f>'Price list ALDI Süd'!H109</f>
        <v>3.7</v>
      </c>
      <c r="Q112" s="42">
        <f>P112/1000*D112</f>
        <v>3.9466666666666664E-2</v>
      </c>
    </row>
    <row r="113" spans="1:17" ht="17" x14ac:dyDescent="0.2">
      <c r="B113" s="1" t="s">
        <v>223</v>
      </c>
      <c r="D113" s="1">
        <f>$D$111/3</f>
        <v>10.666666666666666</v>
      </c>
      <c r="E113" s="1">
        <f>D113*7</f>
        <v>74.666666666666657</v>
      </c>
      <c r="G113" s="31">
        <f>'Price list REWE '!E110</f>
        <v>8.99</v>
      </c>
      <c r="H113" s="31">
        <f>G113/1000*D113</f>
        <v>9.589333333333333E-2</v>
      </c>
      <c r="J113" s="42">
        <f>'Price list REWE '!H110</f>
        <v>14.58</v>
      </c>
      <c r="K113" s="42">
        <f>J113/1000*D113</f>
        <v>0.15551999999999999</v>
      </c>
      <c r="M113" s="31">
        <f>'Price list ALDI Süd'!E110</f>
        <v>7.99</v>
      </c>
      <c r="N113" s="31">
        <f>M113/1000*D113</f>
        <v>8.5226666666666673E-2</v>
      </c>
      <c r="P113" s="42">
        <f>'Price list ALDI Süd'!H110</f>
        <v>9.32</v>
      </c>
      <c r="Q113" s="42">
        <f>P113/1000*D113</f>
        <v>9.9413333333333326E-2</v>
      </c>
    </row>
    <row r="114" spans="1:17" ht="17" x14ac:dyDescent="0.2">
      <c r="A114" s="1"/>
      <c r="B114" s="1" t="s">
        <v>226</v>
      </c>
      <c r="D114" s="1">
        <f>$D$111/3</f>
        <v>10.666666666666666</v>
      </c>
      <c r="E114" s="1">
        <f>D114*7</f>
        <v>74.666666666666657</v>
      </c>
      <c r="F114" s="7"/>
      <c r="G114" s="31">
        <f>'Price list REWE '!E111</f>
        <v>10.36</v>
      </c>
      <c r="H114" s="31">
        <f>G114/1000*D114</f>
        <v>0.11050666666666666</v>
      </c>
      <c r="J114" s="42">
        <f>'Price list REWE '!H111</f>
        <v>15.96</v>
      </c>
      <c r="K114" s="42">
        <f>J114/1000*D114</f>
        <v>0.17024</v>
      </c>
      <c r="M114" s="31">
        <f>'Price list ALDI Süd'!E111</f>
        <v>6.76</v>
      </c>
      <c r="N114" s="31">
        <f>M114/1000*D114</f>
        <v>7.2106666666666652E-2</v>
      </c>
      <c r="P114" s="42">
        <f>'Price list ALDI Süd'!H111</f>
        <v>6.76</v>
      </c>
      <c r="Q114" s="42">
        <f>P114/1000*D114</f>
        <v>7.2106666666666652E-2</v>
      </c>
    </row>
    <row r="115" spans="1:17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28.8</v>
      </c>
    </row>
    <row r="117" spans="1:17" ht="17" x14ac:dyDescent="0.2">
      <c r="B117" s="1" t="s">
        <v>230</v>
      </c>
      <c r="D117" s="7">
        <f>5*C4</f>
        <v>4</v>
      </c>
      <c r="E117" s="7">
        <f>D117*7</f>
        <v>28</v>
      </c>
      <c r="G117" s="31">
        <f>'Price list REWE '!E114</f>
        <v>5.8</v>
      </c>
      <c r="H117" s="31">
        <f>G117/1000*D117</f>
        <v>2.3199999999999998E-2</v>
      </c>
      <c r="J117" s="42">
        <f>'Price list REWE '!H114</f>
        <v>11.96</v>
      </c>
      <c r="K117" s="42">
        <f>J117/1000*D117</f>
        <v>4.7840000000000001E-2</v>
      </c>
      <c r="M117" s="31">
        <f>'Price list ALDI Süd'!E114</f>
        <v>5.8</v>
      </c>
      <c r="N117" s="31">
        <f>M117/1000*D117</f>
        <v>2.3199999999999998E-2</v>
      </c>
      <c r="P117" s="42">
        <f>'Price list ALDI Süd'!H114</f>
        <v>11.96</v>
      </c>
      <c r="Q117" s="42">
        <f>P117/1000*D117</f>
        <v>4.7840000000000001E-2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7" x14ac:dyDescent="0.2">
      <c r="A119" s="12" t="s">
        <v>414</v>
      </c>
      <c r="D119" s="4">
        <f>31*C4</f>
        <v>24.8</v>
      </c>
      <c r="E119" s="4">
        <f>D119*E10</f>
        <v>173.6</v>
      </c>
      <c r="F119" s="4">
        <f>120*C4</f>
        <v>96</v>
      </c>
    </row>
    <row r="120" spans="1:17" ht="17" x14ac:dyDescent="0.2">
      <c r="A120" s="188"/>
      <c r="B120" s="1" t="s">
        <v>234</v>
      </c>
      <c r="D120" s="1">
        <f>D119/3</f>
        <v>8.2666666666666675</v>
      </c>
      <c r="E120" s="1">
        <f>D120*7</f>
        <v>57.866666666666674</v>
      </c>
      <c r="G120" s="31">
        <f>'Price list REWE '!E117</f>
        <v>1.49</v>
      </c>
      <c r="H120" s="31">
        <f>G120/1000*D120</f>
        <v>1.2317333333333335E-2</v>
      </c>
      <c r="J120" s="42">
        <f>'Price list REWE '!H117</f>
        <v>2.59</v>
      </c>
      <c r="K120" s="42">
        <f>J120/1000*D120</f>
        <v>2.1410666666666668E-2</v>
      </c>
      <c r="M120" s="31">
        <f>'Price list ALDI Süd'!E117</f>
        <v>1.49</v>
      </c>
      <c r="N120" s="31">
        <f>M120/1000*D120</f>
        <v>1.2317333333333335E-2</v>
      </c>
      <c r="P120" s="42">
        <f>'Price list ALDI Süd'!H117</f>
        <v>2.59</v>
      </c>
      <c r="Q120" s="42">
        <f>P120/1000*D120</f>
        <v>2.1410666666666668E-2</v>
      </c>
    </row>
    <row r="121" spans="1:17" ht="17" x14ac:dyDescent="0.2">
      <c r="B121" s="1" t="s">
        <v>237</v>
      </c>
      <c r="D121" s="1">
        <f>D119/3</f>
        <v>8.2666666666666675</v>
      </c>
      <c r="E121" s="1">
        <f>D121*7</f>
        <v>57.866666666666674</v>
      </c>
      <c r="G121" s="31">
        <f>'Price list REWE '!E118</f>
        <v>5.9</v>
      </c>
      <c r="H121" s="31">
        <f>G121/1000*D121</f>
        <v>4.8773333333333342E-2</v>
      </c>
      <c r="J121" s="42">
        <f>'Price list REWE '!H118</f>
        <v>12.9</v>
      </c>
      <c r="K121" s="42">
        <f>J121/1000*D121</f>
        <v>0.10664000000000001</v>
      </c>
      <c r="M121" s="31">
        <f>'Price list ALDI Süd'!E118</f>
        <v>5.9</v>
      </c>
      <c r="N121" s="31">
        <f>M121/1000*D121</f>
        <v>4.8773333333333342E-2</v>
      </c>
      <c r="P121" s="42">
        <f>'Price list ALDI Süd'!H118</f>
        <v>12.9</v>
      </c>
      <c r="Q121" s="42">
        <f>P121/1000*D121</f>
        <v>0.10664000000000001</v>
      </c>
    </row>
    <row r="122" spans="1:17" ht="17" x14ac:dyDescent="0.2">
      <c r="B122" s="252" t="s">
        <v>240</v>
      </c>
      <c r="D122" s="1">
        <f>D119/3</f>
        <v>8.2666666666666675</v>
      </c>
      <c r="E122" s="1">
        <f>D122*7</f>
        <v>57.866666666666674</v>
      </c>
      <c r="G122" s="31">
        <f>'Price list REWE '!E119</f>
        <v>3.66</v>
      </c>
      <c r="H122" s="31">
        <f>G122/1000*D122</f>
        <v>3.0256000000000005E-2</v>
      </c>
      <c r="J122" s="42">
        <f>'Price list REWE '!H119</f>
        <v>14.9</v>
      </c>
      <c r="K122" s="42">
        <f>J122/1000*D122</f>
        <v>0.12317333333333334</v>
      </c>
      <c r="M122" s="31">
        <f>'Price list ALDI Süd'!E119</f>
        <v>3.96</v>
      </c>
      <c r="N122" s="31">
        <f>M122/1000*D122</f>
        <v>3.2736000000000001E-2</v>
      </c>
      <c r="P122" s="42">
        <f>'Price list ALDI Süd'!H119</f>
        <v>9.4499999999999993</v>
      </c>
      <c r="Q122" s="42">
        <f>P122/1000*D122</f>
        <v>7.8120000000000009E-2</v>
      </c>
    </row>
    <row r="123" spans="1:17" x14ac:dyDescent="0.2">
      <c r="A123" s="9">
        <v>3</v>
      </c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1200</v>
      </c>
      <c r="E124" s="4">
        <f>D124*E10</f>
        <v>8400</v>
      </c>
    </row>
    <row r="125" spans="1:17" ht="17" x14ac:dyDescent="0.2">
      <c r="B125" s="1" t="s">
        <v>415</v>
      </c>
      <c r="D125" s="1">
        <v>800</v>
      </c>
      <c r="E125" s="1">
        <f>D125*7</f>
        <v>5600</v>
      </c>
      <c r="G125" s="31">
        <f>'Price list REWE '!E129</f>
        <v>0.18</v>
      </c>
      <c r="H125" s="31">
        <f>G125/1000*D125</f>
        <v>0.14399999999999999</v>
      </c>
      <c r="J125" s="42">
        <f>'Price list REWE '!H129</f>
        <v>0.18</v>
      </c>
      <c r="K125" s="42">
        <f>J125/1000*D125</f>
        <v>0.14399999999999999</v>
      </c>
      <c r="M125" s="31">
        <f>'Price list ALDI Süd'!E129</f>
        <v>0.18</v>
      </c>
      <c r="N125" s="31">
        <f>M125/1000*D125</f>
        <v>0.14399999999999999</v>
      </c>
      <c r="P125" s="42">
        <f>'Price list ALDI Süd'!H129</f>
        <v>0.18</v>
      </c>
      <c r="Q125" s="42">
        <f>P125/1000*D125</f>
        <v>0.14399999999999999</v>
      </c>
    </row>
    <row r="126" spans="1:17" ht="17" x14ac:dyDescent="0.2">
      <c r="B126" s="1" t="s">
        <v>417</v>
      </c>
      <c r="D126" s="1">
        <v>400</v>
      </c>
      <c r="E126" s="1">
        <f>D126*7</f>
        <v>2800</v>
      </c>
      <c r="G126" s="31">
        <f>'Price list REWE '!E130</f>
        <v>12.27</v>
      </c>
      <c r="H126" s="31">
        <f>G126/1000*(56/25)*2</f>
        <v>5.49696E-2</v>
      </c>
      <c r="J126" s="42">
        <f>'Price list REWE '!H130</f>
        <v>67.25</v>
      </c>
      <c r="K126" s="42">
        <f>J126/1000*(40/20)*2</f>
        <v>0.26900000000000002</v>
      </c>
      <c r="M126" s="31">
        <f>'Price list ALDI Süd'!E130</f>
        <v>12.27</v>
      </c>
      <c r="N126" s="31">
        <f>M126/1000*(56.25/25)*2</f>
        <v>5.5215E-2</v>
      </c>
      <c r="P126" s="42">
        <f>'Price list ALDI Süd'!H130</f>
        <v>67.25</v>
      </c>
      <c r="Q126" s="42">
        <f>P126/1000*(40/20)*2</f>
        <v>0.26900000000000002</v>
      </c>
    </row>
    <row r="127" spans="1:17" ht="17" x14ac:dyDescent="0.2">
      <c r="B127" s="1" t="s">
        <v>420</v>
      </c>
      <c r="D127" s="1">
        <f>E127/7</f>
        <v>28.571428571428573</v>
      </c>
      <c r="E127" s="1">
        <v>200</v>
      </c>
      <c r="G127" s="31">
        <f>'Price list REWE '!E131</f>
        <v>0.39</v>
      </c>
      <c r="H127" s="31">
        <f>G127/1000*D127</f>
        <v>1.1142857142857144E-2</v>
      </c>
      <c r="J127" s="42">
        <f>'Price list REWE '!H131</f>
        <v>3.79</v>
      </c>
      <c r="K127" s="42">
        <f>J127/1000*D127</f>
        <v>0.10828571428571429</v>
      </c>
      <c r="M127" s="31">
        <f>'Price list ALDI Süd'!E131</f>
        <v>0.39</v>
      </c>
      <c r="N127" s="31">
        <f>M127/1000*D127</f>
        <v>1.1142857142857144E-2</v>
      </c>
      <c r="P127" s="42">
        <f>'Price list ALDI Süd'!H131</f>
        <v>3.79</v>
      </c>
      <c r="Q127" s="42">
        <f>P127/1000*D127</f>
        <v>0.10828571428571429</v>
      </c>
    </row>
    <row r="128" spans="1:17" ht="17" x14ac:dyDescent="0.2">
      <c r="B128" s="1" t="s">
        <v>421</v>
      </c>
      <c r="D128" s="1">
        <f>E128/7</f>
        <v>28.571428571428573</v>
      </c>
      <c r="E128" s="1">
        <v>200</v>
      </c>
      <c r="G128" s="31">
        <f>'Price list REWE '!E132</f>
        <v>1.29</v>
      </c>
      <c r="H128" s="31">
        <f>G128/1000*D128</f>
        <v>3.6857142857142866E-2</v>
      </c>
      <c r="J128" s="42">
        <f>'Price list REWE '!H132</f>
        <v>2.39</v>
      </c>
      <c r="K128" s="42">
        <f>J128/1000*D128</f>
        <v>6.8285714285714297E-2</v>
      </c>
      <c r="M128" s="31">
        <f>'Price list ALDI Süd'!E132</f>
        <v>1.29</v>
      </c>
      <c r="N128" s="31">
        <f>M128/1000*D128</f>
        <v>3.6857142857142866E-2</v>
      </c>
      <c r="P128" s="42">
        <f>'Price list ALDI Süd'!H132</f>
        <v>3.32</v>
      </c>
      <c r="Q128" s="42">
        <f>P128/1000*D128</f>
        <v>9.4857142857142862E-2</v>
      </c>
    </row>
    <row r="129" spans="1:19" x14ac:dyDescent="0.2">
      <c r="A129" s="9">
        <v>4</v>
      </c>
    </row>
    <row r="131" spans="1:19" s="4" customFormat="1" ht="17" x14ac:dyDescent="0.2">
      <c r="A131" s="185" t="s">
        <v>431</v>
      </c>
      <c r="F131" s="12" t="s">
        <v>423</v>
      </c>
      <c r="G131" s="91"/>
      <c r="H131" s="185" t="s">
        <v>432</v>
      </c>
      <c r="I131" s="81"/>
      <c r="J131" s="81"/>
      <c r="K131" s="185" t="s">
        <v>432</v>
      </c>
      <c r="L131" s="220"/>
      <c r="M131" s="220"/>
      <c r="N131" s="185" t="s">
        <v>432</v>
      </c>
      <c r="O131" s="220"/>
      <c r="P131" s="220"/>
      <c r="Q131" s="185" t="s">
        <v>432</v>
      </c>
      <c r="R131" s="255"/>
      <c r="S131" s="92"/>
    </row>
    <row r="132" spans="1:19" ht="17" x14ac:dyDescent="0.2">
      <c r="A132" s="273">
        <f>A129+A123+A118+A115+A107+A103+A99+A95+A87+A82+A79+A76+A73+A70+A59+A47+A40+A20+A17+A32+A110</f>
        <v>74</v>
      </c>
      <c r="D132" s="9"/>
      <c r="E132" s="9"/>
      <c r="F132" s="12" t="s">
        <v>465</v>
      </c>
      <c r="H132" s="1" t="s">
        <v>433</v>
      </c>
      <c r="K132" s="1" t="s">
        <v>433</v>
      </c>
      <c r="N132" s="1" t="s">
        <v>433</v>
      </c>
      <c r="Q132" s="1" t="s">
        <v>433</v>
      </c>
    </row>
    <row r="133" spans="1:19" x14ac:dyDescent="0.2">
      <c r="F133" s="4">
        <f>F119+F116+F111+F108+F104+F101+F96+F88+F83+F80+F77+F74+F71+F60+F48+F41+F33+F23+F18+F11</f>
        <v>2002.4000000000005</v>
      </c>
      <c r="H133" s="1">
        <f>SUM(H12:H128)</f>
        <v>3.436772015385908</v>
      </c>
      <c r="K133" s="1">
        <f>SUM(K12:K128)</f>
        <v>5.3232166347689143</v>
      </c>
      <c r="N133" s="1">
        <f>SUM(N12:N128)</f>
        <v>3.3472457217580884</v>
      </c>
      <c r="Q133" s="1">
        <f>SUM(Q12:Q128)</f>
        <v>4.8466857481557533</v>
      </c>
    </row>
    <row r="134" spans="1:19" x14ac:dyDescent="0.2"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9" ht="17" x14ac:dyDescent="0.2">
      <c r="H135" s="9" t="s">
        <v>434</v>
      </c>
      <c r="I135" s="9"/>
      <c r="J135" s="9"/>
      <c r="K135" s="9" t="s">
        <v>434</v>
      </c>
      <c r="L135" s="9"/>
      <c r="M135" s="9"/>
      <c r="N135" s="9" t="s">
        <v>434</v>
      </c>
      <c r="O135" s="9"/>
      <c r="P135" s="9"/>
      <c r="Q135" s="9" t="s">
        <v>434</v>
      </c>
    </row>
    <row r="136" spans="1:19" x14ac:dyDescent="0.2">
      <c r="H136" s="9">
        <f>H133*30</f>
        <v>103.10316046157725</v>
      </c>
      <c r="I136" s="9"/>
      <c r="J136" s="9"/>
      <c r="K136" s="9">
        <f>K133*30</f>
        <v>159.69649904306743</v>
      </c>
      <c r="L136" s="9"/>
      <c r="M136" s="9"/>
      <c r="N136" s="9">
        <f>N133*30</f>
        <v>100.41737165274266</v>
      </c>
      <c r="O136" s="9"/>
      <c r="P136" s="9"/>
      <c r="Q136" s="9">
        <f>Q133*30</f>
        <v>145.4005724446726</v>
      </c>
    </row>
  </sheetData>
  <mergeCells count="9">
    <mergeCell ref="A2:Q2"/>
    <mergeCell ref="G5:K6"/>
    <mergeCell ref="M5:Q6"/>
    <mergeCell ref="A1:Q1"/>
    <mergeCell ref="G7:H8"/>
    <mergeCell ref="J7:K8"/>
    <mergeCell ref="M7:N8"/>
    <mergeCell ref="P7:Q8"/>
    <mergeCell ref="A4:B4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0887-E82B-C946-B874-A3B67CDA74C8}">
  <sheetPr codeName="Tabelle25">
    <tabColor theme="5" tint="0.79998168889431442"/>
    <pageSetUpPr fitToPage="1"/>
  </sheetPr>
  <dimension ref="A1:S136"/>
  <sheetViews>
    <sheetView topLeftCell="E1" zoomScale="91" zoomScaleNormal="80" workbookViewId="0">
      <pane ySplit="9" topLeftCell="A116" activePane="bottomLeft" state="frozen"/>
      <selection activeCell="E1" sqref="E1"/>
      <selection pane="bottomLeft" activeCell="Q126" sqref="Q126"/>
    </sheetView>
  </sheetViews>
  <sheetFormatPr baseColWidth="10" defaultColWidth="10.83203125" defaultRowHeight="16" x14ac:dyDescent="0.2"/>
  <cols>
    <col min="1" max="1" width="25.6640625" style="9" customWidth="1"/>
    <col min="2" max="2" width="31.33203125" style="1" customWidth="1"/>
    <col min="3" max="3" width="10.6640625" style="1" customWidth="1"/>
    <col min="4" max="4" width="19.33203125" style="1" customWidth="1"/>
    <col min="5" max="5" width="20.6640625" style="1" customWidth="1"/>
    <col min="6" max="6" width="15.1640625" style="1" customWidth="1"/>
    <col min="7" max="8" width="16" style="1" customWidth="1"/>
    <col min="9" max="10" width="15.5" style="1" customWidth="1"/>
    <col min="11" max="12" width="15.6640625" style="1" customWidth="1"/>
    <col min="13" max="13" width="15.33203125" style="1" customWidth="1"/>
    <col min="14" max="14" width="16.5" style="1" customWidth="1"/>
    <col min="15" max="15" width="10.83203125" style="1"/>
    <col min="16" max="16" width="12" style="1" bestFit="1" customWidth="1"/>
    <col min="17" max="17" width="16" style="1" customWidth="1"/>
    <col min="18" max="16384" width="10.83203125" style="1"/>
  </cols>
  <sheetData>
    <row r="1" spans="1:17" ht="18" customHeight="1" x14ac:dyDescent="0.2">
      <c r="A1" s="420" t="s">
        <v>633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21" customHeight="1" x14ac:dyDescent="0.2">
      <c r="A2" s="420" t="s">
        <v>435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x14ac:dyDescent="0.2">
      <c r="A3" s="125"/>
      <c r="B3" s="126"/>
      <c r="C3" s="126"/>
      <c r="D3" s="126"/>
      <c r="E3" s="126"/>
      <c r="F3" s="13"/>
    </row>
    <row r="4" spans="1:17" x14ac:dyDescent="0.2">
      <c r="A4" s="430" t="s">
        <v>426</v>
      </c>
      <c r="B4" s="431"/>
      <c r="C4" s="9">
        <f>2200/2500</f>
        <v>0.88</v>
      </c>
      <c r="D4" s="114"/>
      <c r="E4" s="90"/>
      <c r="F4" s="13"/>
    </row>
    <row r="5" spans="1:17" x14ac:dyDescent="0.2">
      <c r="B5" s="9"/>
      <c r="C5" s="9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x14ac:dyDescent="0.2">
      <c r="B6" s="9"/>
      <c r="C6" s="9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B7" s="9"/>
      <c r="C7" s="9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466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204.16</v>
      </c>
      <c r="E11" s="4">
        <f>D11*$E$10</f>
        <v>1429.12</v>
      </c>
      <c r="F11" s="4">
        <f>811*C4</f>
        <v>713.68</v>
      </c>
    </row>
    <row r="12" spans="1:17" ht="19" customHeight="1" x14ac:dyDescent="0.2">
      <c r="B12" s="1" t="s">
        <v>24</v>
      </c>
      <c r="D12" s="1">
        <f>30*C4</f>
        <v>26.4</v>
      </c>
      <c r="E12" s="1">
        <f t="shared" ref="E12:E16" si="0">D12*$E$10</f>
        <v>184.79999999999998</v>
      </c>
      <c r="G12" s="31">
        <f>'Price list REWE '!E9</f>
        <v>2.89</v>
      </c>
      <c r="H12" s="31">
        <f>G12/1000*D12</f>
        <v>7.6296000000000003E-2</v>
      </c>
      <c r="J12" s="42">
        <f>'Price list REWE '!H9</f>
        <v>2.89</v>
      </c>
      <c r="K12" s="42">
        <f>J12/1000*D12</f>
        <v>7.6296000000000003E-2</v>
      </c>
      <c r="M12" s="31">
        <f>'Price list ALDI Süd'!E9</f>
        <v>2.89</v>
      </c>
      <c r="N12" s="31">
        <f>M12/1000*D12</f>
        <v>7.6296000000000003E-2</v>
      </c>
      <c r="P12" s="42">
        <f>'Price list ALDI Süd'!H9</f>
        <v>2.89</v>
      </c>
      <c r="Q12" s="42">
        <f>P12/1000*D12</f>
        <v>7.6296000000000003E-2</v>
      </c>
    </row>
    <row r="13" spans="1:17" ht="17" x14ac:dyDescent="0.2">
      <c r="B13" s="1" t="s">
        <v>27</v>
      </c>
      <c r="D13" s="1">
        <f>50*C4</f>
        <v>44</v>
      </c>
      <c r="E13" s="1">
        <f t="shared" si="0"/>
        <v>308</v>
      </c>
      <c r="G13" s="31">
        <f>'Price list REWE '!E10</f>
        <v>1.58</v>
      </c>
      <c r="H13" s="31">
        <f>G13/1000*D13</f>
        <v>6.9519999999999998E-2</v>
      </c>
      <c r="J13" s="42">
        <f>'Price list REWE '!H10</f>
        <v>4.38</v>
      </c>
      <c r="K13" s="42">
        <f>J13/1000*D13</f>
        <v>0.19272</v>
      </c>
      <c r="M13" s="31">
        <f>'Price list ALDI Süd'!E10</f>
        <v>3.48</v>
      </c>
      <c r="N13" s="31">
        <f>M13/1000*D13</f>
        <v>0.15312000000000001</v>
      </c>
      <c r="P13" s="42">
        <f>'Price list ALDI Süd'!H10</f>
        <v>4.38</v>
      </c>
      <c r="Q13" s="42">
        <f>P13/1000*D13</f>
        <v>0.19272</v>
      </c>
    </row>
    <row r="14" spans="1:17" ht="17" x14ac:dyDescent="0.2">
      <c r="B14" s="1" t="s">
        <v>30</v>
      </c>
      <c r="D14" s="1">
        <f>50*C4</f>
        <v>44</v>
      </c>
      <c r="E14" s="1">
        <f t="shared" si="0"/>
        <v>308</v>
      </c>
      <c r="G14" s="31">
        <f>'Price list REWE '!E11</f>
        <v>2.13</v>
      </c>
      <c r="H14" s="31">
        <f>G14/1000*D14</f>
        <v>9.3719999999999998E-2</v>
      </c>
      <c r="J14" s="42">
        <f>'Price list REWE '!H11</f>
        <v>4.25</v>
      </c>
      <c r="K14" s="42">
        <f>J14/1000*D14</f>
        <v>0.187</v>
      </c>
      <c r="M14" s="31">
        <f>'Price list ALDI Süd'!E11</f>
        <v>2.84</v>
      </c>
      <c r="N14" s="31">
        <f>M14/1000*D14</f>
        <v>0.12495999999999999</v>
      </c>
      <c r="P14" s="42">
        <f>'Price list ALDI Süd'!H11</f>
        <v>5.25</v>
      </c>
      <c r="Q14" s="42">
        <f>P14/1000*D14</f>
        <v>0.23100000000000001</v>
      </c>
    </row>
    <row r="15" spans="1:17" ht="17" x14ac:dyDescent="0.2">
      <c r="B15" s="1" t="s">
        <v>33</v>
      </c>
      <c r="D15" s="1">
        <f>40*C4</f>
        <v>35.200000000000003</v>
      </c>
      <c r="E15" s="1">
        <f>D15*$E$10</f>
        <v>246.40000000000003</v>
      </c>
      <c r="G15" s="31">
        <f>'Price list REWE '!E12</f>
        <v>1.58</v>
      </c>
      <c r="H15" s="31">
        <f>G15/1000*D15</f>
        <v>5.5616000000000006E-2</v>
      </c>
      <c r="J15" s="42">
        <f>'Price list REWE '!H12</f>
        <v>1.98</v>
      </c>
      <c r="K15" s="42">
        <f>J15/1000*D15</f>
        <v>6.9696000000000008E-2</v>
      </c>
      <c r="M15" s="31">
        <f>'Price list ALDI Süd'!E12</f>
        <v>1.58</v>
      </c>
      <c r="N15" s="31">
        <f>M15/1000*D15</f>
        <v>5.5616000000000006E-2</v>
      </c>
      <c r="P15" s="42">
        <f>'Price list ALDI Süd'!H12</f>
        <v>1.9</v>
      </c>
      <c r="Q15" s="42">
        <f>P15/1000*D15</f>
        <v>6.6880000000000009E-2</v>
      </c>
    </row>
    <row r="16" spans="1:17" ht="17" x14ac:dyDescent="0.2">
      <c r="B16" s="1" t="s">
        <v>36</v>
      </c>
      <c r="D16" s="1">
        <f>62*C4</f>
        <v>54.56</v>
      </c>
      <c r="E16" s="1">
        <f t="shared" si="0"/>
        <v>381.92</v>
      </c>
      <c r="G16" s="31">
        <f>'Price list REWE '!E13</f>
        <v>3.58</v>
      </c>
      <c r="H16" s="31">
        <f>G16/1000*D16</f>
        <v>0.19532480000000002</v>
      </c>
      <c r="J16" s="42">
        <f>'Price list REWE '!H13</f>
        <v>2.98</v>
      </c>
      <c r="K16" s="42">
        <f>J16/1000*D16</f>
        <v>0.16258880000000001</v>
      </c>
      <c r="M16" s="31">
        <f>'Price list ALDI Süd'!E13</f>
        <v>2.98</v>
      </c>
      <c r="N16" s="31">
        <f>M16/1000*D16</f>
        <v>0.16258880000000001</v>
      </c>
      <c r="P16" s="42">
        <f>'Price list ALDI Süd'!H13</f>
        <v>2.98</v>
      </c>
      <c r="Q16" s="42">
        <f>P16/1000*D16</f>
        <v>0.16258880000000001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44</v>
      </c>
      <c r="E18" s="4">
        <f>D18*$E$10</f>
        <v>308</v>
      </c>
      <c r="F18" s="4">
        <f>39*C4</f>
        <v>34.32</v>
      </c>
      <c r="G18" s="12"/>
      <c r="J18" s="12"/>
    </row>
    <row r="19" spans="1:17" ht="17" x14ac:dyDescent="0.2">
      <c r="B19" s="1" t="s">
        <v>41</v>
      </c>
      <c r="D19" s="1">
        <f>50*C4</f>
        <v>44</v>
      </c>
      <c r="E19" s="1">
        <f>D19*E10</f>
        <v>308</v>
      </c>
      <c r="G19" s="31">
        <f>'Price list REWE '!E16</f>
        <v>0.92</v>
      </c>
      <c r="H19" s="31">
        <f>G19/1000*D19</f>
        <v>4.0480000000000002E-2</v>
      </c>
      <c r="J19" s="42">
        <f>'Price list REWE '!H16</f>
        <v>1.53</v>
      </c>
      <c r="K19" s="191">
        <f>J19/1000*D19</f>
        <v>6.7320000000000005E-2</v>
      </c>
      <c r="M19" s="31">
        <f>'Price list ALDI Süd'!E16</f>
        <v>0.96</v>
      </c>
      <c r="N19" s="31">
        <f>M19/1000*D19</f>
        <v>4.224E-2</v>
      </c>
      <c r="P19" s="42">
        <f>'Price list ALDI Süd'!H16</f>
        <v>1.46</v>
      </c>
      <c r="Q19" s="42">
        <f>P19/1000*D19</f>
        <v>6.4239999999999992E-2</v>
      </c>
    </row>
    <row r="20" spans="1:17" x14ac:dyDescent="0.2">
      <c r="A20" s="9">
        <v>1</v>
      </c>
      <c r="G20" s="31"/>
      <c r="H20" s="31"/>
      <c r="J20" s="192"/>
      <c r="K20" s="66"/>
      <c r="L20" s="65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264</v>
      </c>
      <c r="E21" s="4">
        <f>D21*$E$10</f>
        <v>1848</v>
      </c>
      <c r="K21" s="193"/>
    </row>
    <row r="22" spans="1:17" x14ac:dyDescent="0.2">
      <c r="C22" s="6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88</v>
      </c>
      <c r="E23" s="4">
        <f>D23*7</f>
        <v>616</v>
      </c>
      <c r="F23" s="4">
        <f>23*C4</f>
        <v>20.239999999999998</v>
      </c>
      <c r="G23" s="12"/>
      <c r="J23" s="12"/>
    </row>
    <row r="24" spans="1:17" ht="17" x14ac:dyDescent="0.2">
      <c r="B24" s="16" t="s">
        <v>392</v>
      </c>
      <c r="C24" s="340">
        <v>8.1854823894030371E-2</v>
      </c>
      <c r="D24" s="6">
        <f>C24*$D$23</f>
        <v>7.2032245026746722</v>
      </c>
      <c r="E24" s="1">
        <f>D24*7</f>
        <v>50.422571518722705</v>
      </c>
      <c r="G24" s="33">
        <f>'Price list REWE '!E21</f>
        <v>3.0944625407166124</v>
      </c>
      <c r="H24" s="31">
        <f t="shared" ref="H24:H31" si="1">G24/1000*D24</f>
        <v>2.2290108395898824E-2</v>
      </c>
      <c r="J24" s="45">
        <f>'Price list REWE '!H21</f>
        <v>3.0944625407166124</v>
      </c>
      <c r="K24" s="42">
        <f t="shared" ref="K24:K31" si="2">J24/1000*D24</f>
        <v>2.2290108395898824E-2</v>
      </c>
      <c r="M24" s="31">
        <f>'Price list ALDI Süd'!E21</f>
        <v>2.2475570032573291</v>
      </c>
      <c r="N24" s="31">
        <f t="shared" ref="N24:N31" si="3">M24/1000*D24</f>
        <v>1.6189657677021251E-2</v>
      </c>
      <c r="P24" s="42">
        <f>'Price list ALDI Süd'!H21</f>
        <v>2.2475570032573291</v>
      </c>
      <c r="Q24" s="42">
        <f t="shared" ref="Q24:Q31" si="4">P24/1000*D24</f>
        <v>1.6189657677021251E-2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5">C25*$D$23</f>
        <v>3.6811611427054132</v>
      </c>
      <c r="E25" s="1">
        <f t="shared" ref="E25:E31" si="6">D25*7</f>
        <v>25.768127998937892</v>
      </c>
      <c r="G25" s="33">
        <f>'Price list REWE '!E22</f>
        <v>2.875</v>
      </c>
      <c r="H25" s="31">
        <f t="shared" si="1"/>
        <v>1.0583338285278063E-2</v>
      </c>
      <c r="J25" s="45">
        <f>'Price list REWE '!H22</f>
        <v>5.98</v>
      </c>
      <c r="K25" s="42">
        <f t="shared" si="2"/>
        <v>2.2013343633378372E-2</v>
      </c>
      <c r="M25" s="31">
        <f>'Price list ALDI Süd'!E22</f>
        <v>2.875</v>
      </c>
      <c r="N25" s="31">
        <f t="shared" si="3"/>
        <v>1.0583338285278063E-2</v>
      </c>
      <c r="P25" s="42">
        <f>'Price list ALDI Süd'!H22</f>
        <v>11.96</v>
      </c>
      <c r="Q25" s="42">
        <f t="shared" si="4"/>
        <v>4.4026687266756744E-2</v>
      </c>
    </row>
    <row r="26" spans="1:17" ht="17" x14ac:dyDescent="0.2">
      <c r="B26" s="16" t="s">
        <v>51</v>
      </c>
      <c r="C26" s="340">
        <v>5.5140886754685689E-2</v>
      </c>
      <c r="D26" s="6">
        <f t="shared" si="5"/>
        <v>4.8523980344123405</v>
      </c>
      <c r="E26" s="1">
        <f t="shared" si="6"/>
        <v>33.966786240886385</v>
      </c>
      <c r="G26" s="33">
        <f>'Price list REWE '!E23</f>
        <v>1.76</v>
      </c>
      <c r="H26" s="31">
        <f t="shared" si="1"/>
        <v>8.5402205405657201E-3</v>
      </c>
      <c r="J26" s="45">
        <f>'Price list REWE '!H23</f>
        <v>3.32</v>
      </c>
      <c r="K26" s="42">
        <f t="shared" si="2"/>
        <v>1.6109961474248969E-2</v>
      </c>
      <c r="M26" s="31">
        <f>'Price list ALDI Süd'!E23</f>
        <v>1.99</v>
      </c>
      <c r="N26" s="31">
        <f t="shared" si="3"/>
        <v>9.6562720884805584E-3</v>
      </c>
      <c r="P26" s="42">
        <f>'Price list ALDI Süd'!H23</f>
        <v>3.32</v>
      </c>
      <c r="Q26" s="42">
        <f t="shared" si="4"/>
        <v>1.6109961474248969E-2</v>
      </c>
    </row>
    <row r="27" spans="1:17" ht="17" x14ac:dyDescent="0.2">
      <c r="B27" s="16" t="s">
        <v>394</v>
      </c>
      <c r="C27" s="340">
        <v>7.8411761271535096E-2</v>
      </c>
      <c r="D27" s="6">
        <f t="shared" si="5"/>
        <v>6.900234991895088</v>
      </c>
      <c r="E27" s="1">
        <f t="shared" si="6"/>
        <v>48.301644943265615</v>
      </c>
      <c r="G27" s="33">
        <f>'Price list REWE '!E24</f>
        <v>1.8349928876244666</v>
      </c>
      <c r="H27" s="31">
        <f t="shared" si="1"/>
        <v>1.2661882133064954E-2</v>
      </c>
      <c r="J27" s="45">
        <f>'Price list REWE '!H24</f>
        <v>3.8264580369843526</v>
      </c>
      <c r="K27" s="42">
        <f t="shared" si="2"/>
        <v>2.6403459641817621E-2</v>
      </c>
      <c r="M27" s="31">
        <f>'Price list ALDI Süd'!E24</f>
        <v>1.4082503556187767</v>
      </c>
      <c r="N27" s="31">
        <f t="shared" si="3"/>
        <v>9.7172583811893833E-3</v>
      </c>
      <c r="P27" s="42">
        <f>'Price list ALDI Süd'!H24</f>
        <v>3.8264580369843526</v>
      </c>
      <c r="Q27" s="42">
        <f t="shared" si="4"/>
        <v>2.6403459641817621E-2</v>
      </c>
    </row>
    <row r="28" spans="1:17" ht="17" x14ac:dyDescent="0.2">
      <c r="B28" s="16" t="s">
        <v>395</v>
      </c>
      <c r="C28" s="340">
        <v>0.10804527200358816</v>
      </c>
      <c r="D28" s="6">
        <f t="shared" si="5"/>
        <v>9.5079839363157568</v>
      </c>
      <c r="E28" s="1">
        <f t="shared" si="6"/>
        <v>66.555887554210301</v>
      </c>
      <c r="G28" s="33">
        <f>'Price list REWE '!E25</f>
        <v>6.2402088772845961</v>
      </c>
      <c r="H28" s="31">
        <f t="shared" si="1"/>
        <v>5.9331805764476928E-2</v>
      </c>
      <c r="J28" s="45">
        <f>'Price list REWE '!H25</f>
        <v>6.5013054830287214</v>
      </c>
      <c r="K28" s="42">
        <f t="shared" si="2"/>
        <v>6.181430809771863E-2</v>
      </c>
      <c r="M28" s="31">
        <f>'Price list ALDI Süd'!E25</f>
        <v>4.125</v>
      </c>
      <c r="N28" s="31">
        <f t="shared" si="3"/>
        <v>3.9220433737302496E-2</v>
      </c>
      <c r="P28" s="42">
        <f>'Price list ALDI Süd'!H25</f>
        <v>7.041666666666667</v>
      </c>
      <c r="Q28" s="42">
        <f t="shared" si="4"/>
        <v>6.6952053551556784E-2</v>
      </c>
    </row>
    <row r="29" spans="1:17" ht="17" x14ac:dyDescent="0.2">
      <c r="B29" s="16" t="s">
        <v>396</v>
      </c>
      <c r="C29" s="340">
        <v>0.24433687491347134</v>
      </c>
      <c r="D29" s="6">
        <f t="shared" si="5"/>
        <v>21.501644992385479</v>
      </c>
      <c r="E29" s="1">
        <f t="shared" si="6"/>
        <v>150.51151494669836</v>
      </c>
      <c r="G29" s="33">
        <f>'Price list REWE '!E26</f>
        <v>1.0745614035087721</v>
      </c>
      <c r="H29" s="31">
        <f t="shared" si="1"/>
        <v>2.3104837820765101E-2</v>
      </c>
      <c r="J29" s="45">
        <f>'Price list REWE '!H26</f>
        <v>3.2675438596491229</v>
      </c>
      <c r="K29" s="42">
        <f t="shared" si="2"/>
        <v>7.0257568067224482E-2</v>
      </c>
      <c r="M29" s="31">
        <f>'Price list ALDI Süd'!E26</f>
        <v>1.0745614035087721</v>
      </c>
      <c r="N29" s="31">
        <f t="shared" si="3"/>
        <v>2.3104837820765101E-2</v>
      </c>
      <c r="P29" s="42">
        <f>'Price list ALDI Süd'!H26</f>
        <v>1.2938596491228069</v>
      </c>
      <c r="Q29" s="42">
        <f t="shared" si="4"/>
        <v>2.7820110845411035E-2</v>
      </c>
    </row>
    <row r="30" spans="1:17" ht="17" x14ac:dyDescent="0.2">
      <c r="B30" s="16" t="s">
        <v>63</v>
      </c>
      <c r="C30" s="340">
        <v>0.19518950227051848</v>
      </c>
      <c r="D30" s="6">
        <f t="shared" si="5"/>
        <v>17.176676199805627</v>
      </c>
      <c r="E30" s="1">
        <f t="shared" si="6"/>
        <v>120.23673339863939</v>
      </c>
      <c r="G30" s="33">
        <f>'Price list REWE '!E27</f>
        <v>1.79</v>
      </c>
      <c r="H30" s="31">
        <f t="shared" si="1"/>
        <v>3.0746250397652074E-2</v>
      </c>
      <c r="J30" s="45">
        <f>'Price list REWE '!H27</f>
        <v>3.58</v>
      </c>
      <c r="K30" s="42">
        <f t="shared" si="2"/>
        <v>6.1492500795304147E-2</v>
      </c>
      <c r="M30" s="31">
        <f>'Price list ALDI Süd'!E27</f>
        <v>1.49</v>
      </c>
      <c r="N30" s="31">
        <f t="shared" si="3"/>
        <v>2.5593247537710383E-2</v>
      </c>
      <c r="P30" s="42">
        <f>'Price list ALDI Süd'!H27</f>
        <v>1.78</v>
      </c>
      <c r="Q30" s="42">
        <f t="shared" si="4"/>
        <v>3.0574483635654019E-2</v>
      </c>
    </row>
    <row r="31" spans="1:17" ht="17" x14ac:dyDescent="0.2">
      <c r="B31" s="16" t="s">
        <v>66</v>
      </c>
      <c r="C31" s="340">
        <v>0.19518950227051848</v>
      </c>
      <c r="D31" s="6">
        <f t="shared" si="5"/>
        <v>17.176676199805627</v>
      </c>
      <c r="E31" s="1">
        <f t="shared" si="6"/>
        <v>120.23673339863939</v>
      </c>
      <c r="G31" s="33">
        <f>'Price list REWE '!E28</f>
        <v>1.99</v>
      </c>
      <c r="H31" s="31">
        <f t="shared" si="1"/>
        <v>3.4181585637613199E-2</v>
      </c>
      <c r="J31" s="45">
        <f>'Price list REWE '!H28</f>
        <v>5.3</v>
      </c>
      <c r="K31" s="42">
        <f t="shared" si="2"/>
        <v>9.1036383858969824E-2</v>
      </c>
      <c r="M31" s="31">
        <f>'Price list ALDI Süd'!E28</f>
        <v>1.99</v>
      </c>
      <c r="N31" s="31">
        <f t="shared" si="3"/>
        <v>3.4181585637613199E-2</v>
      </c>
      <c r="P31" s="42">
        <f>'Price list ALDI Süd'!H28</f>
        <v>5.3</v>
      </c>
      <c r="Q31" s="42">
        <f t="shared" si="4"/>
        <v>9.1036383858969824E-2</v>
      </c>
    </row>
    <row r="32" spans="1:17" x14ac:dyDescent="0.2">
      <c r="A32" s="9">
        <v>8</v>
      </c>
      <c r="B32" s="16"/>
      <c r="C32" s="340"/>
      <c r="G32" s="33"/>
      <c r="H32" s="31"/>
      <c r="J32" s="45"/>
      <c r="K32" s="42"/>
      <c r="M32" s="31"/>
      <c r="N32" s="31"/>
      <c r="P32" s="42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88</v>
      </c>
      <c r="F33" s="4">
        <f>30*C4</f>
        <v>26.4</v>
      </c>
      <c r="G33" s="12"/>
      <c r="J33" s="12"/>
    </row>
    <row r="34" spans="1:17" ht="17" x14ac:dyDescent="0.2">
      <c r="B34" s="23" t="s">
        <v>70</v>
      </c>
      <c r="C34" s="340">
        <v>0.21012979994107583</v>
      </c>
      <c r="D34" s="6">
        <f>C34*D33</f>
        <v>18.491422394814673</v>
      </c>
      <c r="E34" s="1">
        <f t="shared" ref="E34:E39" si="7">D34*7</f>
        <v>129.43995676370272</v>
      </c>
      <c r="G34" s="33">
        <f>'Price list REWE '!E31</f>
        <v>1.75</v>
      </c>
      <c r="H34" s="31">
        <f t="shared" ref="H34:H39" si="8">G34/1000*D34</f>
        <v>3.2359989190925677E-2</v>
      </c>
      <c r="J34" s="45">
        <f>'Price list REWE '!H31</f>
        <v>2.79</v>
      </c>
      <c r="K34" s="42">
        <f t="shared" ref="K34:K39" si="9">J34/1000*D34</f>
        <v>5.1591068481532935E-2</v>
      </c>
      <c r="M34" s="31">
        <f>'Price list ALDI Süd'!E31</f>
        <v>1.5</v>
      </c>
      <c r="N34" s="31">
        <f t="shared" ref="N34:N39" si="10">M34/1000*D34</f>
        <v>2.7737133592222012E-2</v>
      </c>
      <c r="P34" s="42">
        <f>'Price list ALDI Süd'!H31</f>
        <v>2.19</v>
      </c>
      <c r="Q34" s="42">
        <f t="shared" ref="Q34:Q39" si="11">P34/1000*D34</f>
        <v>4.0496215044644138E-2</v>
      </c>
    </row>
    <row r="35" spans="1:17" ht="17" x14ac:dyDescent="0.2">
      <c r="B35" s="16" t="s">
        <v>73</v>
      </c>
      <c r="C35" s="340">
        <v>0.19042830974833957</v>
      </c>
      <c r="D35" s="6">
        <f>C35*D33</f>
        <v>16.757691257853882</v>
      </c>
      <c r="E35" s="1">
        <f t="shared" si="7"/>
        <v>117.30383880497718</v>
      </c>
      <c r="G35" s="33">
        <f>'Price list REWE '!E32</f>
        <v>2.79</v>
      </c>
      <c r="H35" s="31">
        <f t="shared" si="8"/>
        <v>4.6753958609412331E-2</v>
      </c>
      <c r="J35" s="45">
        <f>'Price list REWE '!H32</f>
        <v>5.18</v>
      </c>
      <c r="K35" s="42">
        <f t="shared" si="9"/>
        <v>8.6804840715683104E-2</v>
      </c>
      <c r="M35" s="31">
        <f>'Price list ALDI Süd'!E32</f>
        <v>1.79</v>
      </c>
      <c r="N35" s="31">
        <f t="shared" si="10"/>
        <v>2.9996267351558449E-2</v>
      </c>
      <c r="P35" s="42">
        <f>'Price list ALDI Süd'!H32</f>
        <v>4.58</v>
      </c>
      <c r="Q35" s="42">
        <f t="shared" si="11"/>
        <v>7.675022596097078E-2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16.757691257853882</v>
      </c>
      <c r="E36" s="1">
        <f t="shared" si="7"/>
        <v>117.30383880497718</v>
      </c>
      <c r="G36" s="33">
        <f>'Price list REWE '!E33</f>
        <v>1.7</v>
      </c>
      <c r="H36" s="31">
        <f t="shared" si="8"/>
        <v>2.8488075138351596E-2</v>
      </c>
      <c r="J36" s="45">
        <f>'Price list REWE '!H33</f>
        <v>2.27</v>
      </c>
      <c r="K36" s="42">
        <f t="shared" si="9"/>
        <v>3.8039959155328311E-2</v>
      </c>
      <c r="M36" s="31">
        <f>'Price list ALDI Süd'!E33</f>
        <v>1.7</v>
      </c>
      <c r="N36" s="31">
        <f t="shared" si="10"/>
        <v>2.8488075138351596E-2</v>
      </c>
      <c r="P36" s="42">
        <f>'Price list ALDI Süd'!H33</f>
        <v>1.98</v>
      </c>
      <c r="Q36" s="42">
        <f t="shared" si="11"/>
        <v>3.3180228690550685E-2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16.757691257853882</v>
      </c>
      <c r="E37" s="1">
        <f t="shared" si="7"/>
        <v>117.30383880497718</v>
      </c>
      <c r="G37" s="33">
        <f>'Price list REWE '!E34</f>
        <v>2.125</v>
      </c>
      <c r="H37" s="31">
        <f t="shared" si="8"/>
        <v>3.5610093922939498E-2</v>
      </c>
      <c r="J37" s="45">
        <f>'Price list REWE '!H34</f>
        <v>2.4750000000000001</v>
      </c>
      <c r="K37" s="42">
        <f t="shared" si="9"/>
        <v>4.1475285863188362E-2</v>
      </c>
      <c r="M37" s="31">
        <f>'Price list ALDI Süd'!E34</f>
        <v>2</v>
      </c>
      <c r="N37" s="31">
        <f t="shared" si="10"/>
        <v>3.3515382515707764E-2</v>
      </c>
      <c r="P37" s="42">
        <f>'Price list ALDI Süd'!H34</f>
        <v>2.4750000000000001</v>
      </c>
      <c r="Q37" s="42">
        <f t="shared" si="11"/>
        <v>4.1475285863188362E-2</v>
      </c>
    </row>
    <row r="38" spans="1:17" ht="17" x14ac:dyDescent="0.2">
      <c r="B38" s="16" t="s">
        <v>82</v>
      </c>
      <c r="C38" s="340">
        <v>0.10929263540695267</v>
      </c>
      <c r="D38" s="6">
        <f t="shared" si="12"/>
        <v>9.6177519158118336</v>
      </c>
      <c r="E38" s="1">
        <f t="shared" si="7"/>
        <v>67.324263410682832</v>
      </c>
      <c r="G38" s="33">
        <f>'Price list REWE '!E35</f>
        <v>3.98</v>
      </c>
      <c r="H38" s="31">
        <f t="shared" si="8"/>
        <v>3.8278652624931096E-2</v>
      </c>
      <c r="J38" s="45">
        <f>'Price list REWE '!H35</f>
        <v>6.99</v>
      </c>
      <c r="K38" s="42">
        <f t="shared" si="9"/>
        <v>6.7228085891524722E-2</v>
      </c>
      <c r="M38" s="31">
        <f>'Price list ALDI Süd'!E35</f>
        <v>3.79</v>
      </c>
      <c r="N38" s="31">
        <f t="shared" si="10"/>
        <v>3.6451279760926852E-2</v>
      </c>
      <c r="P38" s="42">
        <f>'Price list ALDI Süd'!H35</f>
        <v>4.4800000000000004</v>
      </c>
      <c r="Q38" s="42">
        <f t="shared" si="11"/>
        <v>4.3087528582837022E-2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9.6177519158118336</v>
      </c>
      <c r="E39" s="1">
        <f t="shared" si="7"/>
        <v>67.324263410682832</v>
      </c>
      <c r="G39" s="76">
        <f>'Price list REWE '!E36</f>
        <v>2.9289940828402368</v>
      </c>
      <c r="H39" s="31">
        <f t="shared" si="8"/>
        <v>2.8170338451638213E-2</v>
      </c>
      <c r="J39" s="46">
        <f>'Price list REWE '!H36</f>
        <v>3.8165680473372783</v>
      </c>
      <c r="K39" s="42">
        <f t="shared" si="9"/>
        <v>3.6706804649104335E-2</v>
      </c>
      <c r="M39" s="31">
        <f>'Price list ALDI Süd'!E36</f>
        <v>2.3372781065088759</v>
      </c>
      <c r="N39" s="31">
        <f t="shared" si="10"/>
        <v>2.2479360986660795E-2</v>
      </c>
      <c r="P39" s="42">
        <f>'Price list ALDI Süd'!H36</f>
        <v>3.8165680473372783</v>
      </c>
      <c r="Q39" s="42">
        <f t="shared" si="11"/>
        <v>3.6706804649104335E-2</v>
      </c>
    </row>
    <row r="40" spans="1:17" x14ac:dyDescent="0.2">
      <c r="A40" s="9">
        <v>6</v>
      </c>
      <c r="C40" s="340"/>
      <c r="D40" s="6"/>
      <c r="G40" s="35"/>
      <c r="H40" s="31"/>
      <c r="J40" s="46"/>
      <c r="K40" s="42"/>
      <c r="M40" s="31"/>
      <c r="N40" s="31"/>
      <c r="P40" s="42"/>
      <c r="Q40" s="42"/>
    </row>
    <row r="41" spans="1:17" s="4" customFormat="1" ht="17" x14ac:dyDescent="0.2">
      <c r="A41" s="12"/>
      <c r="B41" s="186" t="s">
        <v>88</v>
      </c>
      <c r="C41" s="341"/>
      <c r="D41" s="29">
        <f>100*C4</f>
        <v>88</v>
      </c>
      <c r="F41" s="4">
        <f>25*C4</f>
        <v>22</v>
      </c>
      <c r="G41" s="12"/>
      <c r="J41" s="12"/>
    </row>
    <row r="42" spans="1:17" ht="17" x14ac:dyDescent="0.2">
      <c r="B42" s="16" t="s">
        <v>89</v>
      </c>
      <c r="C42" s="340">
        <v>0.24393305975418372</v>
      </c>
      <c r="D42" s="1">
        <f>C42*$D$41</f>
        <v>21.466109258368167</v>
      </c>
      <c r="E42" s="1">
        <f>D42*7</f>
        <v>150.26276480857717</v>
      </c>
      <c r="G42" s="33">
        <f>'Price list REWE '!E39</f>
        <v>1.49</v>
      </c>
      <c r="H42" s="31">
        <f>G42/1000*D42</f>
        <v>3.1984502794968568E-2</v>
      </c>
      <c r="J42" s="45">
        <f>'Price list REWE '!H39</f>
        <v>1.49</v>
      </c>
      <c r="K42" s="42">
        <f>J42/1000*D42</f>
        <v>3.1984502794968568E-2</v>
      </c>
      <c r="M42" s="31">
        <f>'Price list ALDI Süd'!E39</f>
        <v>1.49</v>
      </c>
      <c r="N42" s="31">
        <f>M42/1000*D42</f>
        <v>3.1984502794968568E-2</v>
      </c>
      <c r="P42" s="42">
        <f>'Price list ALDI Süd'!H39</f>
        <v>1.49</v>
      </c>
      <c r="Q42" s="42">
        <f>P42/1000*D42</f>
        <v>3.1984502794968568E-2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9.3546694943495616</v>
      </c>
      <c r="E43" s="1">
        <f>D43*7</f>
        <v>65.482686460446928</v>
      </c>
      <c r="G43" s="31">
        <f>'Price list REWE '!E40</f>
        <v>1.99</v>
      </c>
      <c r="H43" s="31">
        <f>G43/1000*D43</f>
        <v>1.8615792293755627E-2</v>
      </c>
      <c r="J43" s="42">
        <f>'Price list REWE '!H40</f>
        <v>7.3</v>
      </c>
      <c r="K43" s="42">
        <f>J43/1000*D43</f>
        <v>6.82890873087518E-2</v>
      </c>
      <c r="M43" s="31">
        <f>'Price list ALDI Süd'!E40</f>
        <v>1.99</v>
      </c>
      <c r="N43" s="31">
        <f>M43/1000*D43</f>
        <v>1.8615792293755627E-2</v>
      </c>
      <c r="P43" s="42">
        <f>'Price list ALDI Süd'!H40</f>
        <v>3.32</v>
      </c>
      <c r="Q43" s="42">
        <f>P43/1000*D43</f>
        <v>3.1057502721240544E-2</v>
      </c>
    </row>
    <row r="44" spans="1:17" ht="17" x14ac:dyDescent="0.2">
      <c r="B44" s="16" t="s">
        <v>94</v>
      </c>
      <c r="C44" s="87">
        <v>0.46774770023805184</v>
      </c>
      <c r="D44" s="1">
        <f t="shared" si="13"/>
        <v>41.161797620948562</v>
      </c>
      <c r="E44" s="1">
        <f>D44*7</f>
        <v>288.13258334663993</v>
      </c>
      <c r="G44" s="33">
        <f>'Price list REWE '!E41</f>
        <v>1.79</v>
      </c>
      <c r="H44" s="31">
        <f>G44/1000*D44</f>
        <v>7.3679617741497935E-2</v>
      </c>
      <c r="J44" s="45">
        <f>'Price list REWE '!H41</f>
        <v>3.05</v>
      </c>
      <c r="K44" s="42">
        <f>J44/1000*D44</f>
        <v>0.1255434827438931</v>
      </c>
      <c r="M44" s="31">
        <f>'Price list ALDI Süd'!E41</f>
        <v>1.99</v>
      </c>
      <c r="N44" s="31">
        <f>M44/1000*D44</f>
        <v>8.1911977265687635E-2</v>
      </c>
      <c r="P44" s="42">
        <f>'Price list ALDI Süd'!H41</f>
        <v>1.99</v>
      </c>
      <c r="Q44" s="42">
        <f>P44/1000*D44</f>
        <v>8.1911977265687635E-2</v>
      </c>
    </row>
    <row r="45" spans="1:17" ht="17" x14ac:dyDescent="0.2">
      <c r="B45" s="16" t="s">
        <v>398</v>
      </c>
      <c r="C45" s="87">
        <v>0.10260798307610458</v>
      </c>
      <c r="D45" s="1">
        <f t="shared" si="13"/>
        <v>9.0295025106972027</v>
      </c>
      <c r="E45" s="1">
        <f>D45*7</f>
        <v>63.206517574880422</v>
      </c>
      <c r="G45" s="33">
        <f>'Price list REWE '!E42</f>
        <v>6.99</v>
      </c>
      <c r="H45" s="31">
        <f>G45/1000*D45</f>
        <v>6.3116222549773449E-2</v>
      </c>
      <c r="J45" s="45">
        <f>'Price list REWE '!H42</f>
        <v>9.9600000000000009</v>
      </c>
      <c r="K45" s="42">
        <f>J45/1000*D45</f>
        <v>8.9933845006544139E-2</v>
      </c>
      <c r="M45" s="31">
        <f>'Price list ALDI Süd'!E42</f>
        <v>4.9800000000000004</v>
      </c>
      <c r="N45" s="31">
        <f>M45/1000*D45</f>
        <v>4.4966922503272069E-2</v>
      </c>
      <c r="P45" s="42">
        <f>'Price list ALDI Süd'!H42</f>
        <v>7.16</v>
      </c>
      <c r="Q45" s="42">
        <f>P45/1000*D45</f>
        <v>6.4651237976591974E-2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6.9879211156365111</v>
      </c>
      <c r="E46" s="1">
        <f>D46*7</f>
        <v>48.915447809455578</v>
      </c>
      <c r="G46" s="33">
        <f>'Price list REWE '!E43</f>
        <v>10</v>
      </c>
      <c r="H46" s="31">
        <f>G46/1000*D46</f>
        <v>6.9879211156365112E-2</v>
      </c>
      <c r="J46" s="45">
        <f>'Price list REWE '!H43</f>
        <v>10</v>
      </c>
      <c r="K46" s="42">
        <f>J46/1000*D46</f>
        <v>6.9879211156365112E-2</v>
      </c>
      <c r="M46" s="31">
        <f>'Price list ALDI Süd'!E43</f>
        <v>9.9</v>
      </c>
      <c r="N46" s="31">
        <f>M46/1000*D46</f>
        <v>6.9180419044801461E-2</v>
      </c>
      <c r="P46" s="42">
        <f>'Price list ALDI Süd'!H43</f>
        <v>9.9</v>
      </c>
      <c r="Q46" s="42">
        <f>P46/1000*D46</f>
        <v>6.9180419044801461E-2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176</v>
      </c>
      <c r="E48" s="4">
        <f>D48*$E$10</f>
        <v>1232</v>
      </c>
      <c r="F48" s="4">
        <f>126*C4</f>
        <v>110.88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79.140204944275339</v>
      </c>
      <c r="E49" s="1">
        <f t="shared" ref="E49:E58" si="14">D49*$E$10</f>
        <v>553.98143460992742</v>
      </c>
      <c r="G49" s="58">
        <f>'Price list REWE '!E46</f>
        <v>1.19</v>
      </c>
      <c r="H49" s="31">
        <f t="shared" ref="H49:H58" si="15">G49/1000*D49</f>
        <v>9.4176843883687647E-2</v>
      </c>
      <c r="J49" s="187">
        <f>'Price list REWE '!H46</f>
        <v>2.99</v>
      </c>
      <c r="K49" s="42">
        <f t="shared" ref="K49:K58" si="16">J49/1000*D49</f>
        <v>0.23662921278338328</v>
      </c>
      <c r="M49" s="31">
        <f>'Price list ALDI Süd'!E46</f>
        <v>0.94499999999999995</v>
      </c>
      <c r="N49" s="31">
        <f t="shared" ref="N49:N58" si="17">M49/1000*D49</f>
        <v>7.4787493672340194E-2</v>
      </c>
      <c r="P49" s="42">
        <f>'Price list ALDI Süd'!H46</f>
        <v>1.92</v>
      </c>
      <c r="Q49" s="42">
        <f t="shared" ref="Q49:Q58" si="18">P49/1000*D49</f>
        <v>0.15194919349300864</v>
      </c>
    </row>
    <row r="50" spans="1:17" ht="17" x14ac:dyDescent="0.2">
      <c r="B50" s="26" t="s">
        <v>106</v>
      </c>
      <c r="C50" s="342">
        <v>4.5787970295011769E-2</v>
      </c>
      <c r="D50" s="1">
        <f t="shared" ref="D50:D58" si="19">C50*$D$48</f>
        <v>8.0586827719220722</v>
      </c>
      <c r="E50" s="1">
        <f t="shared" si="14"/>
        <v>56.410779403454505</v>
      </c>
      <c r="G50" s="58">
        <f>'Price list REWE '!E47</f>
        <v>1.79</v>
      </c>
      <c r="H50" s="31">
        <f t="shared" si="15"/>
        <v>1.4425042161740511E-2</v>
      </c>
      <c r="J50" s="187">
        <f>'Price list REWE '!H47</f>
        <v>3.65</v>
      </c>
      <c r="K50" s="42">
        <f t="shared" si="16"/>
        <v>2.9414192117515562E-2</v>
      </c>
      <c r="M50" s="31">
        <f>'Price list ALDI Süd'!E47</f>
        <v>1.79</v>
      </c>
      <c r="N50" s="31">
        <f t="shared" si="17"/>
        <v>1.4425042161740511E-2</v>
      </c>
      <c r="P50" s="42">
        <f>'Price list ALDI Süd'!H47</f>
        <v>3.65</v>
      </c>
      <c r="Q50" s="42">
        <f t="shared" si="18"/>
        <v>2.9414192117515562E-2</v>
      </c>
    </row>
    <row r="51" spans="1:17" ht="17" x14ac:dyDescent="0.2">
      <c r="B51" s="26" t="s">
        <v>109</v>
      </c>
      <c r="C51" s="342">
        <v>2.019481503339627E-2</v>
      </c>
      <c r="D51" s="1">
        <f t="shared" si="19"/>
        <v>3.5542874458777436</v>
      </c>
      <c r="E51" s="1">
        <f t="shared" si="14"/>
        <v>24.880012121144205</v>
      </c>
      <c r="G51" s="58">
        <f>'Price list REWE '!E48</f>
        <v>4.99</v>
      </c>
      <c r="H51" s="31">
        <f t="shared" si="15"/>
        <v>1.7735894354929942E-2</v>
      </c>
      <c r="J51" s="187">
        <f>'Price list REWE '!H48</f>
        <v>4.99</v>
      </c>
      <c r="K51" s="42">
        <f t="shared" si="16"/>
        <v>1.7735894354929942E-2</v>
      </c>
      <c r="M51" s="31">
        <f>'Price list ALDI Süd'!E48</f>
        <v>3.98</v>
      </c>
      <c r="N51" s="31">
        <f t="shared" si="17"/>
        <v>1.414606403459342E-2</v>
      </c>
      <c r="P51" s="42">
        <f>'Price list ALDI Süd'!H48</f>
        <v>3.98</v>
      </c>
      <c r="Q51" s="42">
        <f t="shared" si="18"/>
        <v>1.414606403459342E-2</v>
      </c>
    </row>
    <row r="52" spans="1:17" ht="17" x14ac:dyDescent="0.2">
      <c r="B52" s="26" t="s">
        <v>111</v>
      </c>
      <c r="C52" s="342">
        <v>2.0560497203855613E-2</v>
      </c>
      <c r="D52" s="1">
        <f t="shared" si="19"/>
        <v>3.6186475078785878</v>
      </c>
      <c r="E52" s="1">
        <f t="shared" si="14"/>
        <v>25.330532555150114</v>
      </c>
      <c r="G52" s="58">
        <f>'Price list REWE '!E49</f>
        <v>7.98</v>
      </c>
      <c r="H52" s="31">
        <f t="shared" si="15"/>
        <v>2.8876807112871133E-2</v>
      </c>
      <c r="J52" s="187">
        <f>'Price list REWE '!H49</f>
        <v>10.63</v>
      </c>
      <c r="K52" s="42">
        <f t="shared" si="16"/>
        <v>3.8466223008749391E-2</v>
      </c>
      <c r="M52" s="31">
        <f>'Price list ALDI Süd'!E49</f>
        <v>7.98</v>
      </c>
      <c r="N52" s="31">
        <f t="shared" si="17"/>
        <v>2.8876807112871133E-2</v>
      </c>
      <c r="P52" s="42">
        <f>'Price list ALDI Süd'!H49</f>
        <v>9.9700000000000006</v>
      </c>
      <c r="Q52" s="42">
        <f t="shared" si="18"/>
        <v>3.6077915653549522E-2</v>
      </c>
    </row>
    <row r="53" spans="1:17" ht="17" x14ac:dyDescent="0.2">
      <c r="B53" s="26" t="s">
        <v>114</v>
      </c>
      <c r="C53" s="342">
        <v>1.772181875645604E-2</v>
      </c>
      <c r="D53" s="1">
        <f t="shared" si="19"/>
        <v>3.119040101136263</v>
      </c>
      <c r="E53" s="1">
        <f t="shared" si="14"/>
        <v>21.83328070795384</v>
      </c>
      <c r="G53" s="58">
        <f>'Price list REWE '!E50</f>
        <v>5.98</v>
      </c>
      <c r="H53" s="31">
        <f t="shared" si="15"/>
        <v>1.8651859804794852E-2</v>
      </c>
      <c r="J53" s="187">
        <f>'Price list REWE '!H50</f>
        <v>10.63</v>
      </c>
      <c r="K53" s="42">
        <f t="shared" si="16"/>
        <v>3.3155396275078478E-2</v>
      </c>
      <c r="M53" s="31">
        <f>'Price list ALDI Süd'!E50</f>
        <v>5.98</v>
      </c>
      <c r="N53" s="31">
        <f t="shared" si="17"/>
        <v>1.8651859804794852E-2</v>
      </c>
      <c r="P53" s="42">
        <f>'Price list ALDI Süd'!H50</f>
        <v>9.9700000000000006</v>
      </c>
      <c r="Q53" s="42">
        <f t="shared" si="18"/>
        <v>3.1096829808328546E-2</v>
      </c>
    </row>
    <row r="54" spans="1:17" ht="17" x14ac:dyDescent="0.2">
      <c r="B54" s="26" t="s">
        <v>117</v>
      </c>
      <c r="C54" s="342">
        <v>7.018785236884495E-2</v>
      </c>
      <c r="D54" s="1">
        <f t="shared" si="19"/>
        <v>12.353062016916711</v>
      </c>
      <c r="E54" s="1">
        <f t="shared" si="14"/>
        <v>86.47143411841698</v>
      </c>
      <c r="G54" s="58">
        <f>'Price list REWE '!E51</f>
        <v>5.58</v>
      </c>
      <c r="H54" s="31">
        <f t="shared" si="15"/>
        <v>6.893008605439524E-2</v>
      </c>
      <c r="J54" s="187">
        <f>'Price list REWE '!H51</f>
        <v>5.58</v>
      </c>
      <c r="K54" s="42">
        <f t="shared" si="16"/>
        <v>6.893008605439524E-2</v>
      </c>
      <c r="M54" s="31">
        <f>'Price list ALDI Süd'!E51</f>
        <v>3.99</v>
      </c>
      <c r="N54" s="31">
        <f t="shared" si="17"/>
        <v>4.9288717447497681E-2</v>
      </c>
      <c r="P54" s="42">
        <f>'Price list ALDI Süd'!H51</f>
        <v>9.9700000000000006</v>
      </c>
      <c r="Q54" s="42">
        <f t="shared" si="18"/>
        <v>0.12316002830865963</v>
      </c>
    </row>
    <row r="55" spans="1:17" ht="17" x14ac:dyDescent="0.2">
      <c r="B55" s="26" t="s">
        <v>119</v>
      </c>
      <c r="C55" s="342">
        <v>9.5944736748873077E-2</v>
      </c>
      <c r="D55" s="1">
        <f t="shared" si="19"/>
        <v>16.88627366780166</v>
      </c>
      <c r="E55" s="1">
        <f t="shared" si="14"/>
        <v>118.20391567461162</v>
      </c>
      <c r="G55" s="58">
        <f>'Price list REWE '!E52</f>
        <v>3.58</v>
      </c>
      <c r="H55" s="31">
        <f t="shared" si="15"/>
        <v>6.0452859730729946E-2</v>
      </c>
      <c r="J55" s="187">
        <f>'Price list REWE '!H52</f>
        <v>3.58</v>
      </c>
      <c r="K55" s="42">
        <f t="shared" si="16"/>
        <v>6.0452859730729946E-2</v>
      </c>
      <c r="M55" s="31">
        <f>'Price list ALDI Süd'!E52</f>
        <v>3.38</v>
      </c>
      <c r="N55" s="31">
        <f t="shared" si="17"/>
        <v>5.7075604997169606E-2</v>
      </c>
      <c r="P55" s="42">
        <f>'Price list ALDI Süd'!H52</f>
        <v>3.38</v>
      </c>
      <c r="Q55" s="42">
        <f t="shared" si="18"/>
        <v>5.7075604997169606E-2</v>
      </c>
    </row>
    <row r="56" spans="1:17" ht="17" x14ac:dyDescent="0.2">
      <c r="B56" s="26" t="s">
        <v>121</v>
      </c>
      <c r="C56" s="342">
        <v>0.21388130862220195</v>
      </c>
      <c r="D56" s="1">
        <f t="shared" si="19"/>
        <v>37.643110317507542</v>
      </c>
      <c r="E56" s="1">
        <f t="shared" si="14"/>
        <v>263.5017722225528</v>
      </c>
      <c r="G56" s="58">
        <f>'Price list REWE '!E53</f>
        <v>1.29</v>
      </c>
      <c r="H56" s="31">
        <f t="shared" si="15"/>
        <v>4.8559612309584735E-2</v>
      </c>
      <c r="J56" s="187">
        <f>'Price list REWE '!H53</f>
        <v>1.99</v>
      </c>
      <c r="K56" s="42">
        <f t="shared" si="16"/>
        <v>7.4909789531840007E-2</v>
      </c>
      <c r="M56" s="31">
        <f>'Price list ALDI Süd'!E53</f>
        <v>1.29</v>
      </c>
      <c r="N56" s="31">
        <f t="shared" si="17"/>
        <v>4.8559612309584735E-2</v>
      </c>
      <c r="P56" s="42">
        <f>'Price list ALDI Süd'!H53</f>
        <v>1.99</v>
      </c>
      <c r="Q56" s="42">
        <f t="shared" si="18"/>
        <v>7.4909789531840007E-2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2.0602346663123461</v>
      </c>
      <c r="E57" s="1">
        <f t="shared" si="14"/>
        <v>14.421642664186422</v>
      </c>
      <c r="G57" s="31">
        <f>'Price list REWE '!E54</f>
        <v>5.98</v>
      </c>
      <c r="H57" s="31">
        <f t="shared" si="15"/>
        <v>1.232020330454783E-2</v>
      </c>
      <c r="J57" s="42">
        <f>'Price list REWE '!H54</f>
        <v>5.98</v>
      </c>
      <c r="K57" s="42">
        <f t="shared" si="16"/>
        <v>1.232020330454783E-2</v>
      </c>
      <c r="M57" s="31">
        <f>'Price list ALDI Süd'!E54</f>
        <v>3.98</v>
      </c>
      <c r="N57" s="31">
        <f t="shared" si="17"/>
        <v>8.1997339719231382E-3</v>
      </c>
      <c r="P57" s="42">
        <f>'Price list ALDI Süd'!H54</f>
        <v>3.98</v>
      </c>
      <c r="Q57" s="42">
        <f t="shared" si="18"/>
        <v>8.1997339719231382E-3</v>
      </c>
    </row>
    <row r="58" spans="1:17" ht="17" x14ac:dyDescent="0.2">
      <c r="B58" s="26" t="s">
        <v>126</v>
      </c>
      <c r="C58" s="87">
        <v>5.4354866820293855E-2</v>
      </c>
      <c r="D58" s="1">
        <f t="shared" si="19"/>
        <v>9.5664565603717193</v>
      </c>
      <c r="E58" s="1">
        <f t="shared" si="14"/>
        <v>66.965195922602035</v>
      </c>
      <c r="G58" s="31">
        <f>'Price list REWE '!E55</f>
        <v>4.9800000000000004</v>
      </c>
      <c r="H58" s="31">
        <f t="shared" si="15"/>
        <v>4.7640953670651159E-2</v>
      </c>
      <c r="J58" s="42">
        <f>'Price list REWE '!H55</f>
        <v>4.9800000000000004</v>
      </c>
      <c r="K58" s="42">
        <f t="shared" si="16"/>
        <v>4.7640953670651159E-2</v>
      </c>
      <c r="M58" s="31">
        <f>'Price list ALDI Süd'!E55</f>
        <v>3.98</v>
      </c>
      <c r="N58" s="31">
        <f t="shared" si="17"/>
        <v>3.8074497110279444E-2</v>
      </c>
      <c r="P58" s="42">
        <f>'Price list ALDI Süd'!H55</f>
        <v>3.98</v>
      </c>
      <c r="Q58" s="42">
        <f t="shared" si="18"/>
        <v>3.8074497110279444E-2</v>
      </c>
    </row>
    <row r="59" spans="1:17" x14ac:dyDescent="0.2">
      <c r="A59" s="9">
        <v>10</v>
      </c>
      <c r="B59" s="26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220</v>
      </c>
      <c r="E60" s="4">
        <f>D60*$E$10</f>
        <v>1540</v>
      </c>
      <c r="F60" s="4">
        <f>153*C4</f>
        <v>134.64000000000001</v>
      </c>
    </row>
    <row r="61" spans="1:17" ht="17" x14ac:dyDescent="0.2">
      <c r="B61" s="1" t="s">
        <v>129</v>
      </c>
      <c r="D61" s="1">
        <f>100*C4</f>
        <v>88</v>
      </c>
      <c r="E61" s="1">
        <f t="shared" ref="E61:E69" si="20">D61*$E$10</f>
        <v>616</v>
      </c>
      <c r="G61" s="31">
        <f>'Price list REWE '!E58</f>
        <v>1.05</v>
      </c>
      <c r="H61" s="31">
        <f t="shared" ref="H61:H69" si="21">G61/1000*D61</f>
        <v>9.240000000000001E-2</v>
      </c>
      <c r="J61" s="42">
        <f>'Price list REWE '!H58</f>
        <v>1.25</v>
      </c>
      <c r="K61" s="42">
        <f t="shared" ref="K61:K69" si="22">J61/1000*D61</f>
        <v>0.11</v>
      </c>
      <c r="M61" s="31">
        <f>'Price list ALDI Süd'!E58</f>
        <v>1.05</v>
      </c>
      <c r="N61" s="31">
        <f t="shared" ref="N61:N69" si="23">M61/1000*D61</f>
        <v>9.240000000000001E-2</v>
      </c>
      <c r="P61" s="42">
        <f>'Price list ALDI Süd'!H58</f>
        <v>1.25</v>
      </c>
      <c r="Q61" s="42">
        <f t="shared" ref="Q61:Q69" si="24">P61/1000*D61</f>
        <v>0.11</v>
      </c>
    </row>
    <row r="62" spans="1:17" ht="17" x14ac:dyDescent="0.2">
      <c r="B62" s="1" t="s">
        <v>132</v>
      </c>
      <c r="D62" s="1">
        <f>80*C4</f>
        <v>70.400000000000006</v>
      </c>
      <c r="E62" s="1">
        <f t="shared" si="20"/>
        <v>492.80000000000007</v>
      </c>
      <c r="G62" s="31">
        <f>'Price list REWE '!E59</f>
        <v>1.7</v>
      </c>
      <c r="H62" s="31">
        <f t="shared" si="21"/>
        <v>0.11968000000000001</v>
      </c>
      <c r="J62" s="42">
        <f>'Price list REWE '!H59</f>
        <v>2.38</v>
      </c>
      <c r="K62" s="42">
        <f t="shared" si="22"/>
        <v>0.16755200000000001</v>
      </c>
      <c r="M62" s="31">
        <f>'Price list ALDI Süd'!E59</f>
        <v>1.7</v>
      </c>
      <c r="N62" s="31">
        <f t="shared" si="23"/>
        <v>0.11968000000000001</v>
      </c>
      <c r="P62" s="42">
        <f>'Price list ALDI Süd'!H59</f>
        <v>2.38</v>
      </c>
      <c r="Q62" s="42">
        <f t="shared" si="24"/>
        <v>0.16755200000000001</v>
      </c>
    </row>
    <row r="63" spans="1:17" ht="17" x14ac:dyDescent="0.2">
      <c r="B63" s="1" t="s">
        <v>135</v>
      </c>
      <c r="D63" s="1">
        <f>10*C4</f>
        <v>8.8000000000000007</v>
      </c>
      <c r="E63" s="1">
        <f t="shared" si="20"/>
        <v>61.600000000000009</v>
      </c>
      <c r="G63" s="31">
        <f>'Price list REWE '!E60</f>
        <v>4.63</v>
      </c>
      <c r="H63" s="31">
        <f t="shared" si="21"/>
        <v>4.0744000000000002E-2</v>
      </c>
      <c r="J63" s="42">
        <f>'Price list REWE '!H60</f>
        <v>7.37</v>
      </c>
      <c r="K63" s="42">
        <f t="shared" si="22"/>
        <v>6.4855999999999997E-2</v>
      </c>
      <c r="M63" s="31">
        <f>'Price list ALDI Süd'!E60</f>
        <v>4.63</v>
      </c>
      <c r="N63" s="31">
        <f t="shared" si="23"/>
        <v>4.0744000000000002E-2</v>
      </c>
      <c r="P63" s="42">
        <f>'Price list ALDI Süd'!H60</f>
        <v>7.37</v>
      </c>
      <c r="Q63" s="42">
        <f t="shared" si="24"/>
        <v>6.4855999999999997E-2</v>
      </c>
    </row>
    <row r="64" spans="1:17" ht="17" x14ac:dyDescent="0.2">
      <c r="B64" s="1" t="s">
        <v>138</v>
      </c>
      <c r="D64" s="1">
        <f>10*C4</f>
        <v>8.8000000000000007</v>
      </c>
      <c r="E64" s="1">
        <f t="shared" si="20"/>
        <v>61.600000000000009</v>
      </c>
      <c r="G64" s="31">
        <f>'Price list REWE '!E61</f>
        <v>2.98</v>
      </c>
      <c r="H64" s="31">
        <f t="shared" si="21"/>
        <v>2.6224000000000001E-2</v>
      </c>
      <c r="J64" s="42">
        <f>'Price list REWE '!H61</f>
        <v>4.2</v>
      </c>
      <c r="K64" s="42">
        <f t="shared" si="22"/>
        <v>3.6960000000000007E-2</v>
      </c>
      <c r="M64" s="31">
        <f>'Price list ALDI Süd'!E61</f>
        <v>2.8</v>
      </c>
      <c r="N64" s="31">
        <f t="shared" si="23"/>
        <v>2.4640000000000002E-2</v>
      </c>
      <c r="P64" s="42">
        <f>'Price list ALDI Süd'!H61</f>
        <v>4.2</v>
      </c>
      <c r="Q64" s="42">
        <f t="shared" si="24"/>
        <v>3.6960000000000007E-2</v>
      </c>
    </row>
    <row r="65" spans="1:17" ht="17" x14ac:dyDescent="0.2">
      <c r="B65" s="1" t="s">
        <v>141</v>
      </c>
      <c r="D65" s="1">
        <f>10*C4</f>
        <v>8.8000000000000007</v>
      </c>
      <c r="E65" s="1">
        <f t="shared" si="20"/>
        <v>61.600000000000009</v>
      </c>
      <c r="G65" s="31">
        <f>'Price list REWE '!E62</f>
        <v>7.92</v>
      </c>
      <c r="H65" s="31">
        <f t="shared" si="21"/>
        <v>6.9696000000000008E-2</v>
      </c>
      <c r="J65" s="42">
        <f>'Price list REWE '!H62</f>
        <v>10.32</v>
      </c>
      <c r="K65" s="42">
        <f t="shared" si="22"/>
        <v>9.0816000000000022E-2</v>
      </c>
      <c r="M65" s="31">
        <f>'Price list ALDI Süd'!E62</f>
        <v>7.92</v>
      </c>
      <c r="N65" s="31">
        <f t="shared" si="23"/>
        <v>6.9696000000000008E-2</v>
      </c>
      <c r="P65" s="42">
        <f>'Price list ALDI Süd'!H62</f>
        <v>10.32</v>
      </c>
      <c r="Q65" s="42">
        <f t="shared" si="24"/>
        <v>9.0816000000000022E-2</v>
      </c>
    </row>
    <row r="66" spans="1:17" ht="17" x14ac:dyDescent="0.2">
      <c r="B66" s="1" t="s">
        <v>144</v>
      </c>
      <c r="D66" s="1">
        <f>10*C4</f>
        <v>8.8000000000000007</v>
      </c>
      <c r="E66" s="1">
        <f t="shared" si="20"/>
        <v>61.600000000000009</v>
      </c>
      <c r="G66" s="31">
        <f>'Price list REWE '!E63</f>
        <v>3.45</v>
      </c>
      <c r="H66" s="31">
        <f t="shared" si="21"/>
        <v>3.0360000000000005E-2</v>
      </c>
      <c r="J66" s="42">
        <f>'Price list REWE '!H63</f>
        <v>4.45</v>
      </c>
      <c r="K66" s="42">
        <f t="shared" si="22"/>
        <v>3.916E-2</v>
      </c>
      <c r="M66" s="31">
        <f>'Price list ALDI Süd'!E63</f>
        <v>3.45</v>
      </c>
      <c r="N66" s="31">
        <f t="shared" si="23"/>
        <v>3.0360000000000005E-2</v>
      </c>
      <c r="P66" s="42">
        <f>'Price list ALDI Süd'!H63</f>
        <v>4.25</v>
      </c>
      <c r="Q66" s="42">
        <f t="shared" si="24"/>
        <v>3.7400000000000003E-2</v>
      </c>
    </row>
    <row r="67" spans="1:17" ht="17" x14ac:dyDescent="0.2">
      <c r="B67" s="1" t="s">
        <v>401</v>
      </c>
      <c r="D67" s="1">
        <f>10*C4</f>
        <v>8.8000000000000007</v>
      </c>
      <c r="E67" s="1">
        <f t="shared" si="20"/>
        <v>61.600000000000009</v>
      </c>
      <c r="G67" s="31">
        <f>'Price list REWE '!E64</f>
        <v>7.48</v>
      </c>
      <c r="H67" s="31">
        <f t="shared" si="21"/>
        <v>6.5824000000000008E-2</v>
      </c>
      <c r="J67" s="42">
        <f>'Price list REWE '!H64</f>
        <v>12.6</v>
      </c>
      <c r="K67" s="42">
        <f t="shared" si="22"/>
        <v>0.11088000000000001</v>
      </c>
      <c r="M67" s="31">
        <f>'Price list ALDI Süd'!E64</f>
        <v>9.9600000000000009</v>
      </c>
      <c r="N67" s="31">
        <f t="shared" si="23"/>
        <v>8.7648000000000004E-2</v>
      </c>
      <c r="P67" s="42">
        <f>'Price list ALDI Süd'!H64</f>
        <v>10.95</v>
      </c>
      <c r="Q67" s="42">
        <f t="shared" si="24"/>
        <v>9.6360000000000001E-2</v>
      </c>
    </row>
    <row r="68" spans="1:17" ht="34" x14ac:dyDescent="0.2">
      <c r="B68" s="1" t="s">
        <v>402</v>
      </c>
      <c r="D68" s="1">
        <f>10*C4</f>
        <v>8.8000000000000007</v>
      </c>
      <c r="E68" s="1">
        <f t="shared" si="20"/>
        <v>61.600000000000009</v>
      </c>
      <c r="G68" s="31">
        <f>'Price list REWE '!E65</f>
        <v>11.56</v>
      </c>
      <c r="H68" s="31">
        <f t="shared" si="21"/>
        <v>0.10172800000000001</v>
      </c>
      <c r="J68" s="42">
        <f>'Price list REWE '!H65</f>
        <v>14.6</v>
      </c>
      <c r="K68" s="42">
        <f t="shared" si="22"/>
        <v>0.12848000000000001</v>
      </c>
      <c r="M68" s="31">
        <f>'Price list ALDI Süd'!E65</f>
        <v>11.56</v>
      </c>
      <c r="N68" s="31">
        <f t="shared" si="23"/>
        <v>0.10172800000000001</v>
      </c>
      <c r="P68" s="42">
        <f>'Price list ALDI Süd'!H65</f>
        <v>14.6</v>
      </c>
      <c r="Q68" s="42">
        <f t="shared" si="24"/>
        <v>0.12848000000000001</v>
      </c>
    </row>
    <row r="69" spans="1:17" ht="17" x14ac:dyDescent="0.2">
      <c r="B69" s="1" t="s">
        <v>403</v>
      </c>
      <c r="D69" s="1">
        <f>10*C4</f>
        <v>8.8000000000000007</v>
      </c>
      <c r="E69" s="1">
        <f t="shared" si="20"/>
        <v>61.600000000000009</v>
      </c>
      <c r="G69" s="31">
        <f>'Price list REWE '!E66</f>
        <v>9.9499999999999993</v>
      </c>
      <c r="H69" s="31">
        <f t="shared" si="21"/>
        <v>8.7559999999999999E-2</v>
      </c>
      <c r="J69" s="42">
        <f>'Price list REWE '!H66</f>
        <v>13.27</v>
      </c>
      <c r="K69" s="42">
        <f t="shared" si="22"/>
        <v>0.116776</v>
      </c>
      <c r="M69" s="31">
        <f>'Price list ALDI Süd'!E66</f>
        <v>9.9499999999999993</v>
      </c>
      <c r="N69" s="31">
        <f t="shared" si="23"/>
        <v>8.7559999999999999E-2</v>
      </c>
      <c r="P69" s="42">
        <f>'Price list ALDI Süd'!H66</f>
        <v>13.28</v>
      </c>
      <c r="Q69" s="42">
        <f t="shared" si="24"/>
        <v>0.11686400000000001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E71/7*C4</f>
        <v>0.77</v>
      </c>
      <c r="E71" s="4">
        <v>6.125</v>
      </c>
      <c r="F71" s="4">
        <f>15*C4</f>
        <v>13.2</v>
      </c>
    </row>
    <row r="72" spans="1:17" ht="17" x14ac:dyDescent="0.2">
      <c r="B72" s="1" t="s">
        <v>158</v>
      </c>
      <c r="D72" s="1">
        <f>E72/7*C4</f>
        <v>0.77</v>
      </c>
      <c r="E72" s="1">
        <v>6.125</v>
      </c>
      <c r="G72" s="31">
        <f>'Price list REWE '!E69</f>
        <v>13.96</v>
      </c>
      <c r="H72" s="31">
        <f>G72/1000*D72</f>
        <v>1.07492E-2</v>
      </c>
      <c r="J72" s="42">
        <f>'Price list REWE '!H69</f>
        <v>15.9</v>
      </c>
      <c r="K72" s="42">
        <f>J72/1000*D72</f>
        <v>1.2243E-2</v>
      </c>
      <c r="M72" s="31">
        <f>'Price list ALDI Süd'!E69</f>
        <v>9.7799999999999994</v>
      </c>
      <c r="N72" s="31">
        <f>M72/1000*D72</f>
        <v>7.5305999999999993E-3</v>
      </c>
      <c r="P72" s="42">
        <f>'Price list ALDI Süd'!H69</f>
        <v>11.98</v>
      </c>
      <c r="Q72" s="42">
        <f>P72/1000*D72</f>
        <v>9.2246000000000012E-3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E74/7*C4</f>
        <v>0.77</v>
      </c>
      <c r="E74" s="4">
        <v>6.125</v>
      </c>
      <c r="F74" s="4">
        <f>15*C4</f>
        <v>13.2</v>
      </c>
    </row>
    <row r="75" spans="1:17" ht="17" x14ac:dyDescent="0.2">
      <c r="B75" s="1" t="s">
        <v>162</v>
      </c>
      <c r="D75" s="1">
        <f>E75/7*C4</f>
        <v>0.77</v>
      </c>
      <c r="E75" s="1">
        <v>6.125</v>
      </c>
      <c r="G75" s="31">
        <f>'Price list REWE '!E72</f>
        <v>8.98</v>
      </c>
      <c r="H75" s="31">
        <f>G75/1000*D75</f>
        <v>6.9145999999999999E-3</v>
      </c>
      <c r="J75" s="42">
        <f>'Price list REWE '!H72</f>
        <v>29.9</v>
      </c>
      <c r="K75" s="42">
        <f>J75/1000*D75</f>
        <v>2.3023000000000002E-2</v>
      </c>
      <c r="M75" s="31">
        <f>'Price list ALDI Süd'!E72</f>
        <v>8.98</v>
      </c>
      <c r="N75" s="31">
        <f>M75/1000*D75</f>
        <v>6.9145999999999999E-3</v>
      </c>
      <c r="P75" s="42">
        <f>'Price list ALDI Süd'!H72</f>
        <v>17.96</v>
      </c>
      <c r="Q75" s="42">
        <f>P75/1000*D75</f>
        <v>1.38292E-2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E77/7*C4</f>
        <v>3.19</v>
      </c>
      <c r="E77" s="4">
        <v>25.375</v>
      </c>
      <c r="F77" s="4">
        <f>62*C4</f>
        <v>54.56</v>
      </c>
    </row>
    <row r="78" spans="1:17" ht="17" x14ac:dyDescent="0.2">
      <c r="B78" s="1" t="s">
        <v>166</v>
      </c>
      <c r="D78" s="1">
        <f>E78/7*C4</f>
        <v>3.19</v>
      </c>
      <c r="E78" s="1">
        <v>25.375</v>
      </c>
      <c r="G78" s="31">
        <f>'Price list REWE '!E75</f>
        <v>9.98</v>
      </c>
      <c r="H78" s="31">
        <f>G78/1000*D78</f>
        <v>3.1836200000000002E-2</v>
      </c>
      <c r="J78" s="42">
        <f>'Price list REWE '!H75</f>
        <v>34.9</v>
      </c>
      <c r="K78" s="42">
        <f>J78/1000*D78</f>
        <v>0.111331</v>
      </c>
      <c r="M78" s="31">
        <f>'Price list ALDI Süd'!E75</f>
        <v>9.98</v>
      </c>
      <c r="N78" s="31">
        <f>M78/1000*D78</f>
        <v>3.1836200000000002E-2</v>
      </c>
      <c r="P78" s="42">
        <f>'Price list ALDI Süd'!H75</f>
        <v>24.99</v>
      </c>
      <c r="Q78" s="42">
        <f>P78/1000*D78</f>
        <v>7.97181E-2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11.44</v>
      </c>
      <c r="E80" s="4">
        <f>D80*E10</f>
        <v>80.08</v>
      </c>
      <c r="F80" s="4">
        <f>19*C4</f>
        <v>16.72</v>
      </c>
    </row>
    <row r="81" spans="1:17" ht="17" x14ac:dyDescent="0.2">
      <c r="A81" s="1"/>
      <c r="B81" s="1" t="s">
        <v>170</v>
      </c>
      <c r="D81" s="1">
        <f>13*C4</f>
        <v>11.44</v>
      </c>
      <c r="E81" s="1">
        <v>91</v>
      </c>
      <c r="G81" s="31">
        <f>'Price list REWE '!E78</f>
        <v>3.98</v>
      </c>
      <c r="H81" s="31">
        <f>G81/1000*D81</f>
        <v>4.5531200000000001E-2</v>
      </c>
      <c r="J81" s="42">
        <f>'Price list REWE '!H78</f>
        <v>7.9666666666666677</v>
      </c>
      <c r="K81" s="42">
        <f>J81/1000*D81</f>
        <v>9.1138666666666673E-2</v>
      </c>
      <c r="M81" s="31">
        <f>'Price list ALDI Süd'!E78</f>
        <v>3.98</v>
      </c>
      <c r="N81" s="31">
        <f>M81/1000*D81</f>
        <v>4.5531200000000001E-2</v>
      </c>
      <c r="P81" s="42">
        <f>'Price list ALDI Süd'!H78</f>
        <v>6.38</v>
      </c>
      <c r="Q81" s="42">
        <f>P81/1000*D81</f>
        <v>7.2987200000000002E-2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E83/7*C4</f>
        <v>3.08</v>
      </c>
      <c r="E83" s="4">
        <v>24.5</v>
      </c>
      <c r="F83" s="4">
        <f>40*C4</f>
        <v>35.200000000000003</v>
      </c>
    </row>
    <row r="84" spans="1:17" ht="17" x14ac:dyDescent="0.2">
      <c r="B84" s="1" t="s">
        <v>174</v>
      </c>
      <c r="D84" s="1">
        <f>D83/3</f>
        <v>1.0266666666666666</v>
      </c>
      <c r="E84" s="1">
        <f>D84*7</f>
        <v>7.1866666666666665</v>
      </c>
      <c r="G84" s="31">
        <f>'Price list REWE '!E81</f>
        <v>23.96</v>
      </c>
      <c r="H84" s="31">
        <f>G84/1000*D84</f>
        <v>2.4598933333333333E-2</v>
      </c>
      <c r="J84" s="42">
        <f>'Price list REWE '!H81</f>
        <v>31.96</v>
      </c>
      <c r="K84" s="42">
        <f>J84/1000*D84</f>
        <v>3.2812266666666666E-2</v>
      </c>
      <c r="M84" s="31">
        <f>'Price list ALDI Süd'!E81</f>
        <v>23.96</v>
      </c>
      <c r="N84" s="31">
        <f>M84/1000*D84</f>
        <v>2.4598933333333333E-2</v>
      </c>
      <c r="P84" s="42">
        <f>'Price list ALDI Süd'!H81</f>
        <v>31.96</v>
      </c>
      <c r="Q84" s="42">
        <f>P84/1000*D84</f>
        <v>3.2812266666666666E-2</v>
      </c>
    </row>
    <row r="85" spans="1:17" ht="17" x14ac:dyDescent="0.2">
      <c r="B85" s="1" t="s">
        <v>177</v>
      </c>
      <c r="D85" s="1">
        <f>D83/3</f>
        <v>1.0266666666666666</v>
      </c>
      <c r="E85" s="1">
        <f>D85*7</f>
        <v>7.1866666666666665</v>
      </c>
      <c r="G85" s="31">
        <f>'Price list REWE '!E82</f>
        <v>7.49</v>
      </c>
      <c r="H85" s="31">
        <f>G85/1000*D85</f>
        <v>7.689733333333333E-3</v>
      </c>
      <c r="J85" s="42">
        <f>'Price list REWE '!H82</f>
        <v>7.49</v>
      </c>
      <c r="K85" s="42">
        <f>J85/1000*D85</f>
        <v>7.689733333333333E-3</v>
      </c>
      <c r="M85" s="31">
        <f>'Price list ALDI Süd'!E82</f>
        <v>7.49</v>
      </c>
      <c r="N85" s="31">
        <f>M85/1000*D85</f>
        <v>7.689733333333333E-3</v>
      </c>
      <c r="P85" s="42">
        <f>'Price list ALDI Süd'!H82</f>
        <v>7.49</v>
      </c>
      <c r="Q85" s="42">
        <f>P85/1000*D85</f>
        <v>7.689733333333333E-3</v>
      </c>
    </row>
    <row r="86" spans="1:17" ht="17" x14ac:dyDescent="0.2">
      <c r="B86" s="1" t="s">
        <v>179</v>
      </c>
      <c r="D86" s="1">
        <f>D83/3</f>
        <v>1.0266666666666666</v>
      </c>
      <c r="E86" s="1">
        <f>D86*7</f>
        <v>7.1866666666666665</v>
      </c>
      <c r="G86" s="31">
        <f>'Price list REWE '!E83</f>
        <v>7.6410256410256414</v>
      </c>
      <c r="H86" s="31">
        <f>G86/1000*D86</f>
        <v>7.8447863247863257E-3</v>
      </c>
      <c r="J86" s="42">
        <f>'Price list REWE '!H83</f>
        <v>20.5625</v>
      </c>
      <c r="K86" s="42">
        <f>J86/1000*D86</f>
        <v>2.1110833333333332E-2</v>
      </c>
      <c r="M86" s="31">
        <f>'Price list ALDI Süd'!E83</f>
        <v>7.6410256410256414</v>
      </c>
      <c r="N86" s="31">
        <f>M86/1000*D86</f>
        <v>7.8447863247863257E-3</v>
      </c>
      <c r="P86" s="42">
        <f>'Price list ALDI Süd'!H83</f>
        <v>20.5625</v>
      </c>
      <c r="Q86" s="42">
        <f>P86/1000*D86</f>
        <v>2.1110833333333332E-2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E88/7*C4</f>
        <v>53.428571428571431</v>
      </c>
      <c r="E88" s="4">
        <f>350+50+25</f>
        <v>425</v>
      </c>
      <c r="F88" s="4">
        <f>172*C4</f>
        <v>151.36000000000001</v>
      </c>
    </row>
    <row r="89" spans="1:17" ht="17" x14ac:dyDescent="0.2">
      <c r="B89" s="1" t="s">
        <v>183</v>
      </c>
      <c r="D89" s="1">
        <f t="shared" ref="D89:D94" si="25">$D$88/6</f>
        <v>8.9047619047619051</v>
      </c>
      <c r="E89" s="1">
        <f t="shared" ref="E89:E94" si="26">D89*$E$10</f>
        <v>62.333333333333336</v>
      </c>
      <c r="G89" s="31">
        <f>'Price list REWE '!E86</f>
        <v>4.58</v>
      </c>
      <c r="H89" s="31">
        <f t="shared" ref="H89:H94" si="27">G89/1000*D89</f>
        <v>4.0783809523809521E-2</v>
      </c>
      <c r="J89" s="42">
        <f>'Price list REWE '!H86</f>
        <v>3.3</v>
      </c>
      <c r="K89" s="42">
        <f t="shared" ref="K89:K94" si="28">J89/1000*D89</f>
        <v>2.9385714285714286E-2</v>
      </c>
      <c r="M89" s="31">
        <f>'Price list ALDI Süd'!E86</f>
        <v>3.98</v>
      </c>
      <c r="N89" s="31">
        <f t="shared" ref="N89:N94" si="29">M89/1000*D89</f>
        <v>3.5440952380952385E-2</v>
      </c>
      <c r="P89" s="42">
        <f>'Price list ALDI Süd'!H86</f>
        <v>3.3</v>
      </c>
      <c r="Q89" s="42">
        <f t="shared" ref="Q89:Q94" si="30">P89/1000*D89</f>
        <v>2.9385714285714286E-2</v>
      </c>
    </row>
    <row r="90" spans="1:17" ht="17" x14ac:dyDescent="0.2">
      <c r="B90" s="1" t="s">
        <v>186</v>
      </c>
      <c r="D90" s="1">
        <f t="shared" si="25"/>
        <v>8.9047619047619051</v>
      </c>
      <c r="E90" s="1">
        <f t="shared" si="26"/>
        <v>62.333333333333336</v>
      </c>
      <c r="G90" s="31">
        <f>'Price list REWE '!E87</f>
        <v>2.9749999999999996</v>
      </c>
      <c r="H90" s="31">
        <f t="shared" si="27"/>
        <v>2.6491666666666667E-2</v>
      </c>
      <c r="J90" s="42">
        <f>'Price list REWE '!H87</f>
        <v>3.5833333333333335</v>
      </c>
      <c r="K90" s="42">
        <f t="shared" si="28"/>
        <v>3.1908730158730157E-2</v>
      </c>
      <c r="M90" s="31">
        <f>'Price list ALDI Süd'!E87</f>
        <v>2.9749999999999996</v>
      </c>
      <c r="N90" s="31">
        <f t="shared" si="29"/>
        <v>2.6491666666666667E-2</v>
      </c>
      <c r="P90" s="42">
        <f>'Price list ALDI Süd'!H87</f>
        <v>3.5833333333333335</v>
      </c>
      <c r="Q90" s="42">
        <f t="shared" si="30"/>
        <v>3.1908730158730157E-2</v>
      </c>
    </row>
    <row r="91" spans="1:17" ht="17" x14ac:dyDescent="0.2">
      <c r="B91" s="1" t="s">
        <v>189</v>
      </c>
      <c r="D91" s="1">
        <f t="shared" si="25"/>
        <v>8.9047619047619051</v>
      </c>
      <c r="E91" s="1">
        <f t="shared" si="26"/>
        <v>62.333333333333336</v>
      </c>
      <c r="G91" s="31">
        <f>'Price list REWE '!E88</f>
        <v>1.7249999999999999</v>
      </c>
      <c r="H91" s="31">
        <f t="shared" si="27"/>
        <v>1.5360714285714287E-2</v>
      </c>
      <c r="J91" s="42">
        <f>'Price list REWE '!H88</f>
        <v>2.75</v>
      </c>
      <c r="K91" s="42">
        <f t="shared" si="28"/>
        <v>2.4488095238095236E-2</v>
      </c>
      <c r="M91" s="31">
        <f>'Price list ALDI Süd'!E88</f>
        <v>1.7249999999999999</v>
      </c>
      <c r="N91" s="31">
        <f t="shared" si="29"/>
        <v>1.5360714285714287E-2</v>
      </c>
      <c r="P91" s="42">
        <f>'Price list ALDI Süd'!H88</f>
        <v>2.75</v>
      </c>
      <c r="Q91" s="42">
        <f t="shared" si="30"/>
        <v>2.4488095238095236E-2</v>
      </c>
    </row>
    <row r="92" spans="1:17" ht="17" x14ac:dyDescent="0.2">
      <c r="B92" s="1" t="s">
        <v>192</v>
      </c>
      <c r="D92" s="1">
        <f t="shared" si="25"/>
        <v>8.9047619047619051</v>
      </c>
      <c r="E92" s="1">
        <f t="shared" si="26"/>
        <v>62.333333333333336</v>
      </c>
      <c r="G92" s="31">
        <f>'Price list REWE '!E89</f>
        <v>1.99</v>
      </c>
      <c r="H92" s="31">
        <f t="shared" si="27"/>
        <v>1.7720476190476193E-2</v>
      </c>
      <c r="J92" s="42">
        <f>'Price list REWE '!H89</f>
        <v>3.98</v>
      </c>
      <c r="K92" s="42">
        <f t="shared" si="28"/>
        <v>3.5440952380952385E-2</v>
      </c>
      <c r="M92" s="31">
        <f>'Price list ALDI Süd'!E89</f>
        <v>1.99</v>
      </c>
      <c r="N92" s="31">
        <f t="shared" si="29"/>
        <v>1.7720476190476193E-2</v>
      </c>
      <c r="P92" s="42">
        <f>'Price list ALDI Süd'!H89</f>
        <v>3.32</v>
      </c>
      <c r="Q92" s="42">
        <f t="shared" si="30"/>
        <v>2.9563809523809527E-2</v>
      </c>
    </row>
    <row r="93" spans="1:17" ht="17" x14ac:dyDescent="0.2">
      <c r="B93" s="1" t="s">
        <v>622</v>
      </c>
      <c r="D93" s="1">
        <f t="shared" si="25"/>
        <v>8.9047619047619051</v>
      </c>
      <c r="E93" s="1">
        <f t="shared" si="26"/>
        <v>62.333333333333336</v>
      </c>
      <c r="G93" s="31">
        <f>'Price list REWE '!E90</f>
        <v>1.7249999999999999</v>
      </c>
      <c r="H93" s="31">
        <f t="shared" si="27"/>
        <v>1.5360714285714287E-2</v>
      </c>
      <c r="J93" s="42">
        <f>'Price list REWE '!H90</f>
        <v>3</v>
      </c>
      <c r="K93" s="42">
        <f t="shared" si="28"/>
        <v>2.6714285714285715E-2</v>
      </c>
      <c r="M93" s="31">
        <f>'Price list ALDI Süd'!E90</f>
        <v>1.7249999999999999</v>
      </c>
      <c r="N93" s="31">
        <f t="shared" si="29"/>
        <v>1.5360714285714287E-2</v>
      </c>
      <c r="P93" s="42">
        <f>'Price list ALDI Süd'!H90</f>
        <v>2.75</v>
      </c>
      <c r="Q93" s="42">
        <f t="shared" si="30"/>
        <v>2.4488095238095236E-2</v>
      </c>
    </row>
    <row r="94" spans="1:17" ht="17" x14ac:dyDescent="0.2">
      <c r="A94" s="1"/>
      <c r="B94" s="1" t="s">
        <v>623</v>
      </c>
      <c r="D94" s="1">
        <f t="shared" si="25"/>
        <v>8.9047619047619051</v>
      </c>
      <c r="E94" s="1">
        <f t="shared" si="26"/>
        <v>62.333333333333336</v>
      </c>
      <c r="G94" s="31">
        <f>'Price list REWE '!E91</f>
        <v>2.0441176470588234</v>
      </c>
      <c r="H94" s="31">
        <f t="shared" si="27"/>
        <v>1.8202380952380953E-2</v>
      </c>
      <c r="J94" s="42">
        <f>'Price list REWE '!H91</f>
        <v>2.0441176470588234</v>
      </c>
      <c r="K94" s="42">
        <f t="shared" si="28"/>
        <v>1.8202380952380953E-2</v>
      </c>
      <c r="M94" s="31">
        <f>'Price list ALDI Süd'!E91</f>
        <v>3.3559322033898304</v>
      </c>
      <c r="N94" s="31">
        <f t="shared" si="29"/>
        <v>2.9883777239709444E-2</v>
      </c>
      <c r="P94" s="42">
        <f>'Price list ALDI Süd'!H91</f>
        <v>3.3559322033898304</v>
      </c>
      <c r="Q94" s="42">
        <f t="shared" si="30"/>
        <v>2.9883777239709444E-2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E96/7*C4</f>
        <v>37.085714285714289</v>
      </c>
      <c r="E96" s="4">
        <f>175+60+60</f>
        <v>295</v>
      </c>
      <c r="F96" s="4">
        <f>112*C4</f>
        <v>98.56</v>
      </c>
    </row>
    <row r="97" spans="1:17" ht="17" x14ac:dyDescent="0.2">
      <c r="B97" s="1" t="s">
        <v>201</v>
      </c>
      <c r="D97" s="1">
        <f>D96/2</f>
        <v>18.542857142857144</v>
      </c>
      <c r="E97" s="1">
        <f>D97*7</f>
        <v>129.80000000000001</v>
      </c>
      <c r="G97" s="31">
        <f>'Price list REWE '!E94</f>
        <v>5.48</v>
      </c>
      <c r="H97" s="31">
        <f>G97/1000*D97</f>
        <v>0.10161485714285716</v>
      </c>
      <c r="J97" s="42">
        <f>'Price list REWE '!H94</f>
        <v>5.48</v>
      </c>
      <c r="K97" s="42">
        <f>J97/1000*D97</f>
        <v>0.10161485714285716</v>
      </c>
      <c r="M97" s="31">
        <f>'Price list ALDI Süd'!E94</f>
        <v>5.48</v>
      </c>
      <c r="N97" s="31">
        <f>M97/1000*D97</f>
        <v>0.10161485714285716</v>
      </c>
      <c r="P97" s="42">
        <f>'Price list ALDI Süd'!H94</f>
        <v>5.48</v>
      </c>
      <c r="Q97" s="42">
        <f>P97/1000*D97</f>
        <v>0.10161485714285716</v>
      </c>
    </row>
    <row r="98" spans="1:17" ht="17" x14ac:dyDescent="0.2">
      <c r="B98" s="1" t="s">
        <v>203</v>
      </c>
      <c r="D98" s="1">
        <f>D96/2</f>
        <v>18.542857142857144</v>
      </c>
      <c r="E98" s="1">
        <f>D98*7</f>
        <v>129.80000000000001</v>
      </c>
      <c r="G98" s="31">
        <f>'Price list REWE '!E95</f>
        <v>6.26</v>
      </c>
      <c r="H98" s="31">
        <f>G98/1000*D98</f>
        <v>0.11607828571428572</v>
      </c>
      <c r="J98" s="42">
        <f>'Price list REWE '!H95</f>
        <v>6.26</v>
      </c>
      <c r="K98" s="42">
        <f>J98/1000*D98</f>
        <v>0.11607828571428572</v>
      </c>
      <c r="M98" s="31">
        <f>'Price list ALDI Süd'!E95</f>
        <v>6.26</v>
      </c>
      <c r="N98" s="31">
        <f>M98/1000*D98</f>
        <v>0.11607828571428572</v>
      </c>
      <c r="P98" s="42">
        <f>'Price list ALDI Süd'!H95</f>
        <v>6.26</v>
      </c>
      <c r="Q98" s="42">
        <f>P98/1000*D98</f>
        <v>0.11607828571428572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124.96</v>
      </c>
    </row>
    <row r="102" spans="1:17" ht="17" x14ac:dyDescent="0.2">
      <c r="B102" s="1" t="s">
        <v>207</v>
      </c>
      <c r="D102" s="1">
        <f>25*C4</f>
        <v>22</v>
      </c>
      <c r="E102" s="1">
        <f>D102*E10</f>
        <v>154</v>
      </c>
      <c r="G102" s="31">
        <f>'Price list REWE '!E99</f>
        <v>4.9800000000000004</v>
      </c>
      <c r="H102" s="31">
        <f>G102/1000*D102</f>
        <v>0.10956</v>
      </c>
      <c r="J102" s="42">
        <f>'Price list REWE '!H99</f>
        <v>4.9800000000000004</v>
      </c>
      <c r="K102" s="42">
        <f>J102/1000*D102</f>
        <v>0.10956</v>
      </c>
      <c r="M102" s="31">
        <f>'Price list ALDI Süd'!E99</f>
        <v>4.9800000000000004</v>
      </c>
      <c r="N102" s="31">
        <f>M102/1000*D102</f>
        <v>0.10956</v>
      </c>
      <c r="P102" s="42">
        <f>'Price list ALDI Süd'!H99</f>
        <v>4.9800000000000004</v>
      </c>
      <c r="Q102" s="42">
        <f>P102/1000*D102</f>
        <v>0.10956</v>
      </c>
    </row>
    <row r="103" spans="1:17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22</v>
      </c>
      <c r="E104" s="8">
        <f>D104*7</f>
        <v>154</v>
      </c>
      <c r="F104" s="8">
        <f>149*C4</f>
        <v>131.12</v>
      </c>
    </row>
    <row r="105" spans="1:17" ht="17" x14ac:dyDescent="0.2">
      <c r="B105" s="1" t="s">
        <v>210</v>
      </c>
      <c r="D105" s="7">
        <f>D104/2</f>
        <v>11</v>
      </c>
      <c r="E105" s="1">
        <f>D105*7</f>
        <v>77</v>
      </c>
      <c r="G105" s="31">
        <f>'Price list REWE '!E102</f>
        <v>11.45</v>
      </c>
      <c r="H105" s="31">
        <f>G105/1000*D105</f>
        <v>0.12595000000000001</v>
      </c>
      <c r="J105" s="42">
        <f>'Price list REWE '!H102</f>
        <v>17.95</v>
      </c>
      <c r="K105" s="42">
        <f>J105/1000*D105</f>
        <v>0.19745000000000001</v>
      </c>
      <c r="M105" s="31">
        <f>'Price list ALDI Süd'!E102</f>
        <v>11.45</v>
      </c>
      <c r="N105" s="31">
        <f>M105/1000*D105</f>
        <v>0.12595000000000001</v>
      </c>
      <c r="P105" s="42">
        <f>'Price list ALDI Süd'!H102</f>
        <v>14.75</v>
      </c>
      <c r="Q105" s="42">
        <f>P105/1000*D105</f>
        <v>0.16225000000000001</v>
      </c>
    </row>
    <row r="106" spans="1:17" ht="17" x14ac:dyDescent="0.2">
      <c r="B106" s="1" t="s">
        <v>213</v>
      </c>
      <c r="D106" s="7">
        <f>D104/2</f>
        <v>11</v>
      </c>
      <c r="E106" s="1">
        <f>D106*7</f>
        <v>77</v>
      </c>
      <c r="F106" s="7"/>
      <c r="G106" s="31">
        <f>'Price list REWE '!E103</f>
        <v>11.45</v>
      </c>
      <c r="H106" s="31">
        <f>G106/1000*D106</f>
        <v>0.12595000000000001</v>
      </c>
      <c r="J106" s="42">
        <f>'Price list REWE '!H103</f>
        <v>11.45</v>
      </c>
      <c r="K106" s="42">
        <f>J106/1000*D106</f>
        <v>0.12595000000000001</v>
      </c>
      <c r="M106" s="31">
        <f>'Price list ALDI Süd'!E103</f>
        <v>11.45</v>
      </c>
      <c r="N106" s="31">
        <f>M106/1000*D106</f>
        <v>0.12595000000000001</v>
      </c>
      <c r="P106" s="42">
        <f>'Price list ALDI Süd'!H103</f>
        <v>11.45</v>
      </c>
      <c r="Q106" s="42">
        <f>P106/1000*D106</f>
        <v>0.12595000000000001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5.984</v>
      </c>
      <c r="E108" s="8">
        <f>D108*7</f>
        <v>41.887999999999998</v>
      </c>
      <c r="F108" s="8">
        <f>60*C4</f>
        <v>52.8</v>
      </c>
    </row>
    <row r="109" spans="1:17" ht="17" x14ac:dyDescent="0.2">
      <c r="B109" s="1" t="s">
        <v>216</v>
      </c>
      <c r="D109" s="1">
        <f>D108</f>
        <v>5.984</v>
      </c>
      <c r="E109" s="1">
        <f>D109*7</f>
        <v>41.887999999999998</v>
      </c>
      <c r="F109" s="7"/>
      <c r="G109" s="31">
        <f>'Price list REWE '!E106</f>
        <v>2.98</v>
      </c>
      <c r="H109" s="31">
        <f>G109/1000*D109</f>
        <v>1.7832319999999999E-2</v>
      </c>
      <c r="J109" s="42">
        <f>'Price list REWE '!H106</f>
        <v>7.16</v>
      </c>
      <c r="K109" s="42">
        <f>J109/1000*D109</f>
        <v>4.2845440000000005E-2</v>
      </c>
      <c r="M109" s="31">
        <f>'Price list ALDI Süd'!E106</f>
        <v>3.38</v>
      </c>
      <c r="N109" s="31">
        <f>M109/1000*D109</f>
        <v>2.0225919999999998E-2</v>
      </c>
      <c r="P109" s="42">
        <f>'Price list ALDI Süd'!H106</f>
        <v>7.16</v>
      </c>
      <c r="Q109" s="42">
        <f>P109/1000*D109</f>
        <v>4.2845440000000005E-2</v>
      </c>
    </row>
    <row r="110" spans="1:17" x14ac:dyDescent="0.2">
      <c r="A110" s="9">
        <v>1</v>
      </c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35.200000000000003</v>
      </c>
      <c r="E111" s="8">
        <f>D111*7</f>
        <v>246.40000000000003</v>
      </c>
      <c r="F111" s="8">
        <f>354*C4</f>
        <v>311.52</v>
      </c>
    </row>
    <row r="112" spans="1:17" ht="17" x14ac:dyDescent="0.2">
      <c r="B112" s="1" t="s">
        <v>220</v>
      </c>
      <c r="D112" s="1">
        <f>$D$111/3</f>
        <v>11.733333333333334</v>
      </c>
      <c r="E112" s="7">
        <f>D112*7</f>
        <v>82.13333333333334</v>
      </c>
      <c r="G112" s="31">
        <f>'Price list REWE '!E109</f>
        <v>3.78</v>
      </c>
      <c r="H112" s="31">
        <f>G112/1000*D112</f>
        <v>4.4352000000000003E-2</v>
      </c>
      <c r="J112" s="42">
        <f>'Price list REWE '!H109</f>
        <v>3.5</v>
      </c>
      <c r="K112" s="42">
        <f>J112/1000*D112</f>
        <v>4.1066666666666668E-2</v>
      </c>
      <c r="M112" s="31">
        <f>'Price list ALDI Süd'!E109</f>
        <v>1.851</v>
      </c>
      <c r="N112" s="31">
        <f>M112/1000*D112</f>
        <v>2.1718400000000002E-2</v>
      </c>
      <c r="P112" s="42">
        <f>'Price list ALDI Süd'!H109</f>
        <v>3.7</v>
      </c>
      <c r="Q112" s="42">
        <f>P112/1000*D112</f>
        <v>4.3413333333333338E-2</v>
      </c>
    </row>
    <row r="113" spans="1:17" ht="17" x14ac:dyDescent="0.2">
      <c r="A113" s="1"/>
      <c r="B113" s="1" t="s">
        <v>223</v>
      </c>
      <c r="D113" s="1">
        <f>$D$111/3</f>
        <v>11.733333333333334</v>
      </c>
      <c r="E113" s="1">
        <f>D113*7</f>
        <v>82.13333333333334</v>
      </c>
      <c r="G113" s="31">
        <f>'Price list REWE '!E110</f>
        <v>8.99</v>
      </c>
      <c r="H113" s="31">
        <f>G113/1000*D113</f>
        <v>0.10548266666666667</v>
      </c>
      <c r="J113" s="42">
        <f>'Price list REWE '!H110</f>
        <v>14.58</v>
      </c>
      <c r="K113" s="42">
        <f>J113/1000*D113</f>
        <v>0.171072</v>
      </c>
      <c r="M113" s="31">
        <f>'Price list ALDI Süd'!E110</f>
        <v>7.99</v>
      </c>
      <c r="N113" s="31">
        <f>M113/1000*D113</f>
        <v>9.3749333333333351E-2</v>
      </c>
      <c r="P113" s="42">
        <f>'Price list ALDI Süd'!H110</f>
        <v>9.32</v>
      </c>
      <c r="Q113" s="42">
        <f>P113/1000*D113</f>
        <v>0.10935466666666668</v>
      </c>
    </row>
    <row r="114" spans="1:17" ht="17" x14ac:dyDescent="0.2">
      <c r="A114" s="1"/>
      <c r="B114" s="1" t="s">
        <v>226</v>
      </c>
      <c r="D114" s="1">
        <f>$D$111/3</f>
        <v>11.733333333333334</v>
      </c>
      <c r="E114" s="1">
        <f>D114*7</f>
        <v>82.13333333333334</v>
      </c>
      <c r="F114" s="7"/>
      <c r="G114" s="31">
        <f>'Price list REWE '!E111</f>
        <v>10.36</v>
      </c>
      <c r="H114" s="31">
        <f>G114/1000*D114</f>
        <v>0.12155733333333334</v>
      </c>
      <c r="J114" s="42">
        <f>'Price list REWE '!H111</f>
        <v>15.96</v>
      </c>
      <c r="K114" s="42">
        <f>J114/1000*D114</f>
        <v>0.18726400000000004</v>
      </c>
      <c r="M114" s="31">
        <f>'Price list ALDI Süd'!E111</f>
        <v>6.76</v>
      </c>
      <c r="N114" s="31">
        <f>M114/1000*D114</f>
        <v>7.9317333333333337E-2</v>
      </c>
      <c r="P114" s="42">
        <f>'Price list ALDI Süd'!H111</f>
        <v>6.76</v>
      </c>
      <c r="Q114" s="42">
        <f>P114/1000*D114</f>
        <v>7.9317333333333337E-2</v>
      </c>
    </row>
    <row r="115" spans="1:17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31.68</v>
      </c>
    </row>
    <row r="117" spans="1:17" ht="17" x14ac:dyDescent="0.2">
      <c r="B117" s="1" t="s">
        <v>230</v>
      </c>
      <c r="D117" s="7">
        <f>5*C4</f>
        <v>4.4000000000000004</v>
      </c>
      <c r="E117" s="7">
        <f>D117*7</f>
        <v>30.800000000000004</v>
      </c>
      <c r="G117" s="31">
        <f>'Price list REWE '!E114</f>
        <v>5.8</v>
      </c>
      <c r="H117" s="31">
        <f>G117/1000*D117</f>
        <v>2.5520000000000001E-2</v>
      </c>
      <c r="J117" s="42">
        <f>'Price list REWE '!H114</f>
        <v>11.96</v>
      </c>
      <c r="K117" s="42">
        <f>J117/1000*D117</f>
        <v>5.2624000000000004E-2</v>
      </c>
      <c r="M117" s="31">
        <f>'Price list ALDI Süd'!E114</f>
        <v>5.8</v>
      </c>
      <c r="N117" s="31">
        <f>M117/1000*D117</f>
        <v>2.5520000000000001E-2</v>
      </c>
      <c r="P117" s="42">
        <f>'Price list ALDI Süd'!H114</f>
        <v>11.96</v>
      </c>
      <c r="Q117" s="42">
        <f>P117/1000*D117</f>
        <v>5.2624000000000004E-2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7" x14ac:dyDescent="0.2">
      <c r="A119" s="12" t="s">
        <v>414</v>
      </c>
      <c r="D119" s="4">
        <f>31*C4</f>
        <v>27.28</v>
      </c>
      <c r="E119" s="4">
        <f>D119*E10</f>
        <v>190.96</v>
      </c>
      <c r="F119" s="4">
        <f>120*C4</f>
        <v>105.6</v>
      </c>
    </row>
    <row r="120" spans="1:17" ht="17" x14ac:dyDescent="0.2">
      <c r="A120" s="188"/>
      <c r="B120" s="1" t="s">
        <v>234</v>
      </c>
      <c r="D120" s="1">
        <f>D119/3</f>
        <v>9.0933333333333337</v>
      </c>
      <c r="E120" s="1">
        <f>D120*7</f>
        <v>63.653333333333336</v>
      </c>
      <c r="G120" s="31">
        <f>'Price list REWE '!E117</f>
        <v>1.49</v>
      </c>
      <c r="H120" s="31">
        <f>G120/1000*D120</f>
        <v>1.3549066666666667E-2</v>
      </c>
      <c r="J120" s="42">
        <f>'Price list REWE '!H117</f>
        <v>2.59</v>
      </c>
      <c r="K120" s="42">
        <f>J120/1000*D120</f>
        <v>2.3551733333333331E-2</v>
      </c>
      <c r="M120" s="31">
        <f>'Price list ALDI Süd'!E117</f>
        <v>1.49</v>
      </c>
      <c r="N120" s="31">
        <f>M120/1000*D120</f>
        <v>1.3549066666666667E-2</v>
      </c>
      <c r="P120" s="42">
        <f>'Price list ALDI Süd'!H117</f>
        <v>2.59</v>
      </c>
      <c r="Q120" s="42">
        <f>P120/1000*D120</f>
        <v>2.3551733333333331E-2</v>
      </c>
    </row>
    <row r="121" spans="1:17" ht="17" x14ac:dyDescent="0.2">
      <c r="B121" s="1" t="s">
        <v>237</v>
      </c>
      <c r="D121" s="1">
        <f>D119/3</f>
        <v>9.0933333333333337</v>
      </c>
      <c r="E121" s="1">
        <f>D121*7</f>
        <v>63.653333333333336</v>
      </c>
      <c r="G121" s="31">
        <f>'Price list REWE '!E118</f>
        <v>5.9</v>
      </c>
      <c r="H121" s="31">
        <f>G121/1000*D121</f>
        <v>5.3650666666666673E-2</v>
      </c>
      <c r="J121" s="42">
        <f>'Price list REWE '!H118</f>
        <v>12.9</v>
      </c>
      <c r="K121" s="42">
        <f>J121/1000*D121</f>
        <v>0.11730400000000001</v>
      </c>
      <c r="M121" s="31">
        <f>'Price list ALDI Süd'!E118</f>
        <v>5.9</v>
      </c>
      <c r="N121" s="31">
        <f>M121/1000*D121</f>
        <v>5.3650666666666673E-2</v>
      </c>
      <c r="P121" s="42">
        <f>'Price list ALDI Süd'!H118</f>
        <v>12.9</v>
      </c>
      <c r="Q121" s="42">
        <f>P121/1000*D121</f>
        <v>0.11730400000000001</v>
      </c>
    </row>
    <row r="122" spans="1:17" ht="17" x14ac:dyDescent="0.2">
      <c r="B122" s="252" t="s">
        <v>240</v>
      </c>
      <c r="D122" s="1">
        <f>D119/3</f>
        <v>9.0933333333333337</v>
      </c>
      <c r="E122" s="1">
        <f>D122*7</f>
        <v>63.653333333333336</v>
      </c>
      <c r="G122" s="31">
        <f>'Price list REWE '!E119</f>
        <v>3.66</v>
      </c>
      <c r="H122" s="31">
        <f>G122/1000*D122</f>
        <v>3.3281600000000001E-2</v>
      </c>
      <c r="J122" s="42">
        <f>'Price list REWE '!H119</f>
        <v>14.9</v>
      </c>
      <c r="K122" s="42">
        <f>J122/1000*D122</f>
        <v>0.13549066666666668</v>
      </c>
      <c r="M122" s="31">
        <f>'Price list ALDI Süd'!E119</f>
        <v>3.96</v>
      </c>
      <c r="N122" s="31">
        <f>M122/1000*D122</f>
        <v>3.6009600000000003E-2</v>
      </c>
      <c r="P122" s="42">
        <f>'Price list ALDI Süd'!H119</f>
        <v>9.4499999999999993</v>
      </c>
      <c r="Q122" s="42">
        <f>P122/1000*D122</f>
        <v>8.5932000000000008E-2</v>
      </c>
    </row>
    <row r="123" spans="1:17" x14ac:dyDescent="0.2">
      <c r="A123" s="9">
        <v>3</v>
      </c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1320</v>
      </c>
      <c r="E124" s="4">
        <f>D124*E10</f>
        <v>9240</v>
      </c>
    </row>
    <row r="125" spans="1:17" ht="17" x14ac:dyDescent="0.2">
      <c r="B125" s="1" t="s">
        <v>415</v>
      </c>
      <c r="D125" s="1">
        <f>D124-D126</f>
        <v>920</v>
      </c>
      <c r="E125" s="1">
        <f>D125*7</f>
        <v>6440</v>
      </c>
      <c r="G125" s="31">
        <f>'Price list REWE '!E129</f>
        <v>0.18</v>
      </c>
      <c r="H125" s="31">
        <f>G125/1000*D125</f>
        <v>0.1656</v>
      </c>
      <c r="J125" s="42">
        <f>'Price list REWE '!H129</f>
        <v>0.18</v>
      </c>
      <c r="K125" s="42">
        <f>J125/1000*D125</f>
        <v>0.1656</v>
      </c>
      <c r="M125" s="31">
        <f>'Price list ALDI Süd'!E129</f>
        <v>0.18</v>
      </c>
      <c r="N125" s="31">
        <f>M125/1000*D125</f>
        <v>0.1656</v>
      </c>
      <c r="P125" s="42">
        <f>'Price list ALDI Süd'!H129</f>
        <v>0.18</v>
      </c>
      <c r="Q125" s="42">
        <f>P125/1000*D125</f>
        <v>0.1656</v>
      </c>
    </row>
    <row r="126" spans="1:17" ht="17" x14ac:dyDescent="0.2">
      <c r="B126" s="1" t="s">
        <v>417</v>
      </c>
      <c r="D126" s="1">
        <v>400</v>
      </c>
      <c r="E126" s="1">
        <f>D126*7</f>
        <v>2800</v>
      </c>
      <c r="G126" s="31">
        <f>'Price list REWE '!E130</f>
        <v>12.27</v>
      </c>
      <c r="H126" s="31">
        <f>G126/1000*(56/25)*2</f>
        <v>5.49696E-2</v>
      </c>
      <c r="J126" s="42">
        <f>'Price list REWE '!H130</f>
        <v>67.25</v>
      </c>
      <c r="K126" s="194">
        <f>J126/1000*(40/20)*2</f>
        <v>0.26900000000000002</v>
      </c>
      <c r="M126" s="31">
        <f>'Price list ALDI Süd'!E130</f>
        <v>12.27</v>
      </c>
      <c r="N126" s="31">
        <f>M126/1000*(56.25/25)*2</f>
        <v>5.5215E-2</v>
      </c>
      <c r="P126" s="42">
        <f>'Price list ALDI Süd'!H130</f>
        <v>67.25</v>
      </c>
      <c r="Q126" s="42">
        <f>P126/1000*(40/20)*2</f>
        <v>0.26900000000000002</v>
      </c>
    </row>
    <row r="127" spans="1:17" ht="17" x14ac:dyDescent="0.2">
      <c r="B127" s="1" t="s">
        <v>420</v>
      </c>
      <c r="D127" s="1">
        <f>E127/7</f>
        <v>28.571428571428573</v>
      </c>
      <c r="E127" s="1">
        <v>200</v>
      </c>
      <c r="G127" s="31">
        <f>'Price list REWE '!E131</f>
        <v>0.39</v>
      </c>
      <c r="H127" s="31">
        <f>G127/1000*D127</f>
        <v>1.1142857142857144E-2</v>
      </c>
      <c r="J127" s="42">
        <f>'Price list REWE '!H131</f>
        <v>3.79</v>
      </c>
      <c r="K127" s="42">
        <f>J127/1000*D127</f>
        <v>0.10828571428571429</v>
      </c>
      <c r="M127" s="31">
        <f>'Price list ALDI Süd'!E131</f>
        <v>0.39</v>
      </c>
      <c r="N127" s="31">
        <f>M127/1000*D127</f>
        <v>1.1142857142857144E-2</v>
      </c>
      <c r="P127" s="42">
        <f>'Price list ALDI Süd'!H131</f>
        <v>3.79</v>
      </c>
      <c r="Q127" s="42">
        <f>P127/1000*D127</f>
        <v>0.10828571428571429</v>
      </c>
    </row>
    <row r="128" spans="1:17" ht="17" x14ac:dyDescent="0.2">
      <c r="B128" s="1" t="s">
        <v>421</v>
      </c>
      <c r="D128" s="1">
        <f>E128/7</f>
        <v>28.571428571428573</v>
      </c>
      <c r="E128" s="1">
        <v>200</v>
      </c>
      <c r="G128" s="31">
        <f>'Price list REWE '!E132</f>
        <v>1.29</v>
      </c>
      <c r="H128" s="31">
        <f>G128/1000*D128</f>
        <v>3.6857142857142866E-2</v>
      </c>
      <c r="J128" s="42">
        <f>'Price list REWE '!H132</f>
        <v>2.39</v>
      </c>
      <c r="K128" s="42">
        <f>J128/1000*D128</f>
        <v>6.8285714285714297E-2</v>
      </c>
      <c r="M128" s="31">
        <f>'Price list ALDI Süd'!E132</f>
        <v>1.29</v>
      </c>
      <c r="N128" s="31">
        <f>M128/1000*D128</f>
        <v>3.6857142857142866E-2</v>
      </c>
      <c r="P128" s="42">
        <f>'Price list ALDI Süd'!H132</f>
        <v>3.32</v>
      </c>
      <c r="Q128" s="42">
        <f>P128/1000*D128</f>
        <v>9.4857142857142862E-2</v>
      </c>
    </row>
    <row r="129" spans="1:19" x14ac:dyDescent="0.2">
      <c r="A129" s="9">
        <v>4</v>
      </c>
    </row>
    <row r="131" spans="1:19" s="4" customFormat="1" ht="17" x14ac:dyDescent="0.2">
      <c r="A131" s="185" t="s">
        <v>431</v>
      </c>
      <c r="F131" s="12" t="s">
        <v>423</v>
      </c>
      <c r="G131" s="91"/>
      <c r="H131" s="185" t="s">
        <v>432</v>
      </c>
      <c r="I131" s="81"/>
      <c r="J131" s="81"/>
      <c r="K131" s="185" t="s">
        <v>432</v>
      </c>
      <c r="L131" s="220"/>
      <c r="M131" s="220"/>
      <c r="N131" s="185" t="s">
        <v>432</v>
      </c>
      <c r="O131" s="220"/>
      <c r="P131" s="220"/>
      <c r="Q131" s="185" t="s">
        <v>432</v>
      </c>
      <c r="R131" s="255"/>
      <c r="S131" s="92"/>
    </row>
    <row r="132" spans="1:19" ht="17" x14ac:dyDescent="0.2">
      <c r="A132" s="273">
        <f>A129+A123+A118+A115+A107+A103+A99+A95+A87+A82+A79+A76+A73+A70+A59+A47+A40+A20+A17+A32+A110</f>
        <v>74</v>
      </c>
      <c r="D132" s="9"/>
      <c r="E132" s="9"/>
      <c r="F132" s="1">
        <f>F119+F116+F111+F108+F104+F101+F96+F88+F83+F80+F77+F74+F71+F60+F48+F41+F33+F23+F18+F11</f>
        <v>2202.64</v>
      </c>
      <c r="H132" s="1" t="s">
        <v>433</v>
      </c>
      <c r="K132" s="1" t="s">
        <v>433</v>
      </c>
      <c r="N132" s="1" t="s">
        <v>433</v>
      </c>
      <c r="Q132" s="1" t="s">
        <v>433</v>
      </c>
    </row>
    <row r="133" spans="1:19" x14ac:dyDescent="0.2">
      <c r="H133" s="1">
        <f>SUM(H12:H128)</f>
        <v>3.7773522569244986</v>
      </c>
      <c r="K133" s="1">
        <f>SUM(K12:K128)</f>
        <v>5.8181811553886611</v>
      </c>
      <c r="N133" s="1">
        <f>SUM(N12:N128)</f>
        <v>3.6788487939338972</v>
      </c>
      <c r="Q133" s="1">
        <f>SUM(Q12:Q128)</f>
        <v>5.2913400372570418</v>
      </c>
    </row>
    <row r="134" spans="1:19" x14ac:dyDescent="0.2"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9" ht="17" x14ac:dyDescent="0.2">
      <c r="H135" s="9" t="s">
        <v>434</v>
      </c>
      <c r="I135" s="9"/>
      <c r="J135" s="9"/>
      <c r="K135" s="9" t="s">
        <v>434</v>
      </c>
      <c r="L135" s="9"/>
      <c r="M135" s="9"/>
      <c r="N135" s="9" t="s">
        <v>434</v>
      </c>
      <c r="O135" s="9"/>
      <c r="P135" s="9"/>
      <c r="Q135" s="9" t="s">
        <v>434</v>
      </c>
    </row>
    <row r="136" spans="1:19" x14ac:dyDescent="0.2">
      <c r="H136" s="9">
        <f>H133*30</f>
        <v>113.32056770773495</v>
      </c>
      <c r="I136" s="9"/>
      <c r="J136" s="9"/>
      <c r="K136" s="9">
        <f>K133*30</f>
        <v>174.54543466165984</v>
      </c>
      <c r="L136" s="9"/>
      <c r="M136" s="9"/>
      <c r="N136" s="9">
        <f>N133*30</f>
        <v>110.36546381801692</v>
      </c>
      <c r="O136" s="9"/>
      <c r="P136" s="9"/>
      <c r="Q136" s="9">
        <f>Q133*30</f>
        <v>158.74020111771125</v>
      </c>
    </row>
  </sheetData>
  <mergeCells count="9">
    <mergeCell ref="A2:Q2"/>
    <mergeCell ref="G5:K6"/>
    <mergeCell ref="M5:Q6"/>
    <mergeCell ref="A1:Q1"/>
    <mergeCell ref="G7:H8"/>
    <mergeCell ref="J7:K8"/>
    <mergeCell ref="M7:N8"/>
    <mergeCell ref="P7:Q8"/>
    <mergeCell ref="A4:B4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F92DC-CB1C-0A41-91E7-A203C9A45DD9}">
  <sheetPr codeName="Tabelle26">
    <tabColor theme="5" tint="0.79998168889431442"/>
    <pageSetUpPr fitToPage="1"/>
  </sheetPr>
  <dimension ref="A1:S137"/>
  <sheetViews>
    <sheetView zoomScale="89" zoomScaleNormal="80" workbookViewId="0">
      <pane ySplit="9" topLeftCell="A114" activePane="bottomLeft" state="frozen"/>
      <selection pane="bottomLeft" sqref="A1:Q1"/>
    </sheetView>
  </sheetViews>
  <sheetFormatPr baseColWidth="10" defaultColWidth="10.83203125" defaultRowHeight="16" x14ac:dyDescent="0.2"/>
  <cols>
    <col min="1" max="1" width="24.6640625" style="9" customWidth="1"/>
    <col min="2" max="2" width="31" style="1" customWidth="1"/>
    <col min="3" max="3" width="10.83203125" style="1" customWidth="1"/>
    <col min="4" max="4" width="19.33203125" style="1" customWidth="1"/>
    <col min="5" max="5" width="22.33203125" style="1" customWidth="1"/>
    <col min="6" max="6" width="15.1640625" style="1" customWidth="1"/>
    <col min="7" max="8" width="16" style="1" customWidth="1"/>
    <col min="9" max="10" width="15.5" style="1" customWidth="1"/>
    <col min="11" max="11" width="16" style="1" customWidth="1"/>
    <col min="12" max="12" width="15.6640625" style="1" customWidth="1"/>
    <col min="13" max="13" width="15.33203125" style="1" customWidth="1"/>
    <col min="14" max="14" width="16.5" style="1" customWidth="1"/>
    <col min="15" max="15" width="10.83203125" style="1"/>
    <col min="16" max="16" width="15.5" style="1" customWidth="1"/>
    <col min="17" max="17" width="17" style="1" customWidth="1"/>
    <col min="18" max="16384" width="10.83203125" style="1"/>
  </cols>
  <sheetData>
    <row r="1" spans="1:17" ht="22" customHeight="1" x14ac:dyDescent="0.2">
      <c r="A1" s="420" t="s">
        <v>633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21" customHeight="1" x14ac:dyDescent="0.2">
      <c r="A2" s="420" t="s">
        <v>437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x14ac:dyDescent="0.2">
      <c r="A3" s="125"/>
      <c r="B3" s="126"/>
      <c r="C3" s="126"/>
      <c r="D3" s="126"/>
      <c r="E3" s="126"/>
      <c r="F3" s="13"/>
    </row>
    <row r="4" spans="1:17" x14ac:dyDescent="0.2">
      <c r="A4" s="430" t="s">
        <v>426</v>
      </c>
      <c r="B4" s="431"/>
      <c r="C4" s="9">
        <f>2100/2500</f>
        <v>0.84</v>
      </c>
      <c r="D4" s="114"/>
      <c r="E4" s="90"/>
      <c r="F4" s="13"/>
    </row>
    <row r="5" spans="1:17" x14ac:dyDescent="0.2">
      <c r="B5" s="9"/>
      <c r="C5" s="9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x14ac:dyDescent="0.2">
      <c r="B6" s="9"/>
      <c r="C6" s="9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B7" s="9"/>
      <c r="C7" s="9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438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194.88</v>
      </c>
      <c r="E11" s="4">
        <f>D11*$E$10</f>
        <v>1364.1599999999999</v>
      </c>
      <c r="F11" s="4">
        <f>811*C4</f>
        <v>681.24</v>
      </c>
    </row>
    <row r="12" spans="1:17" ht="19" customHeight="1" x14ac:dyDescent="0.2">
      <c r="B12" s="1" t="s">
        <v>24</v>
      </c>
      <c r="D12" s="1">
        <f>30*C4</f>
        <v>25.2</v>
      </c>
      <c r="E12" s="1">
        <f t="shared" ref="E12:E16" si="0">D12*$E$10</f>
        <v>176.4</v>
      </c>
      <c r="G12" s="31">
        <f>'Price list REWE '!E9</f>
        <v>2.89</v>
      </c>
      <c r="H12" s="31">
        <f>G12/1000*D12</f>
        <v>7.2828000000000004E-2</v>
      </c>
      <c r="J12" s="42">
        <f>'Price list REWE '!H9</f>
        <v>2.89</v>
      </c>
      <c r="K12" s="42">
        <f>J12/1000*D12</f>
        <v>7.2828000000000004E-2</v>
      </c>
      <c r="M12" s="31">
        <f>'Price list ALDI Süd'!E9</f>
        <v>2.89</v>
      </c>
      <c r="N12" s="31">
        <f>M12/1000*D12</f>
        <v>7.2828000000000004E-2</v>
      </c>
      <c r="P12" s="42">
        <f>'Price list ALDI Süd'!H9</f>
        <v>2.89</v>
      </c>
      <c r="Q12" s="42">
        <f>P12/1000*D12</f>
        <v>7.2828000000000004E-2</v>
      </c>
    </row>
    <row r="13" spans="1:17" ht="17" x14ac:dyDescent="0.2">
      <c r="B13" s="1" t="s">
        <v>27</v>
      </c>
      <c r="D13" s="1">
        <f>50*C4</f>
        <v>42</v>
      </c>
      <c r="E13" s="1">
        <f t="shared" si="0"/>
        <v>294</v>
      </c>
      <c r="G13" s="31">
        <f>'Price list REWE '!E10</f>
        <v>1.58</v>
      </c>
      <c r="H13" s="31">
        <f>G13/1000*D13</f>
        <v>6.6360000000000002E-2</v>
      </c>
      <c r="J13" s="42">
        <f>'Price list REWE '!H10</f>
        <v>4.38</v>
      </c>
      <c r="K13" s="42">
        <f>J13/1000*D13</f>
        <v>0.18396000000000001</v>
      </c>
      <c r="M13" s="31">
        <f>'Price list ALDI Süd'!E10</f>
        <v>3.48</v>
      </c>
      <c r="N13" s="31">
        <f>M13/1000*D13</f>
        <v>0.14616000000000001</v>
      </c>
      <c r="P13" s="42">
        <f>'Price list ALDI Süd'!H10</f>
        <v>4.38</v>
      </c>
      <c r="Q13" s="42">
        <f>P13/1000*D13</f>
        <v>0.18396000000000001</v>
      </c>
    </row>
    <row r="14" spans="1:17" ht="17" x14ac:dyDescent="0.2">
      <c r="B14" s="1" t="s">
        <v>30</v>
      </c>
      <c r="D14" s="1">
        <f>50*C4</f>
        <v>42</v>
      </c>
      <c r="E14" s="1">
        <f t="shared" si="0"/>
        <v>294</v>
      </c>
      <c r="G14" s="31">
        <f>'Price list REWE '!E11</f>
        <v>2.13</v>
      </c>
      <c r="H14" s="31">
        <f>G14/1000*D14</f>
        <v>8.9459999999999998E-2</v>
      </c>
      <c r="J14" s="42">
        <f>'Price list REWE '!H11</f>
        <v>4.25</v>
      </c>
      <c r="K14" s="42">
        <f>J14/1000*D14</f>
        <v>0.17850000000000002</v>
      </c>
      <c r="M14" s="31">
        <f>'Price list ALDI Süd'!E11</f>
        <v>2.84</v>
      </c>
      <c r="N14" s="31">
        <f>M14/1000*D14</f>
        <v>0.11927999999999998</v>
      </c>
      <c r="P14" s="42">
        <f>'Price list ALDI Süd'!H11</f>
        <v>5.25</v>
      </c>
      <c r="Q14" s="42">
        <f>P14/1000*D14</f>
        <v>0.2205</v>
      </c>
    </row>
    <row r="15" spans="1:17" ht="17" x14ac:dyDescent="0.2">
      <c r="B15" s="1" t="s">
        <v>33</v>
      </c>
      <c r="D15" s="1">
        <f>40*C4</f>
        <v>33.6</v>
      </c>
      <c r="E15" s="1">
        <f>D15*$E$10</f>
        <v>235.20000000000002</v>
      </c>
      <c r="G15" s="31">
        <f>'Price list REWE '!E12</f>
        <v>1.58</v>
      </c>
      <c r="H15" s="31">
        <f>G15/1000*D15</f>
        <v>5.3088000000000003E-2</v>
      </c>
      <c r="J15" s="42">
        <f>'Price list REWE '!H12</f>
        <v>1.98</v>
      </c>
      <c r="K15" s="42">
        <f>J15/1000*D15</f>
        <v>6.6528000000000004E-2</v>
      </c>
      <c r="M15" s="31">
        <f>'Price list ALDI Süd'!E12</f>
        <v>1.58</v>
      </c>
      <c r="N15" s="31">
        <f>M15/1000*D15</f>
        <v>5.3088000000000003E-2</v>
      </c>
      <c r="P15" s="42">
        <f>'Price list ALDI Süd'!H12</f>
        <v>1.9</v>
      </c>
      <c r="Q15" s="42">
        <f>P15/1000*D15</f>
        <v>6.3840000000000008E-2</v>
      </c>
    </row>
    <row r="16" spans="1:17" ht="17" x14ac:dyDescent="0.2">
      <c r="B16" s="1" t="s">
        <v>36</v>
      </c>
      <c r="D16" s="1">
        <f>62*C4</f>
        <v>52.08</v>
      </c>
      <c r="E16" s="1">
        <f t="shared" si="0"/>
        <v>364.56</v>
      </c>
      <c r="G16" s="31">
        <f>'Price list REWE '!E13</f>
        <v>3.58</v>
      </c>
      <c r="H16" s="31">
        <f>G16/1000*D16</f>
        <v>0.18644640000000001</v>
      </c>
      <c r="J16" s="42">
        <f>'Price list REWE '!H13</f>
        <v>2.98</v>
      </c>
      <c r="K16" s="42">
        <f>J16/1000*D16</f>
        <v>0.15519839999999999</v>
      </c>
      <c r="M16" s="31">
        <f>'Price list ALDI Süd'!E13</f>
        <v>2.98</v>
      </c>
      <c r="N16" s="31">
        <f>M16/1000*D16</f>
        <v>0.15519839999999999</v>
      </c>
      <c r="P16" s="42">
        <f>'Price list ALDI Süd'!H13</f>
        <v>2.98</v>
      </c>
      <c r="Q16" s="42">
        <f>P16/1000*D16</f>
        <v>0.15519839999999999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42</v>
      </c>
      <c r="E18" s="4">
        <f>D18*$E$10</f>
        <v>294</v>
      </c>
      <c r="F18" s="4">
        <f>39*C4</f>
        <v>32.76</v>
      </c>
      <c r="G18" s="12"/>
      <c r="J18" s="12"/>
    </row>
    <row r="19" spans="1:17" ht="17" x14ac:dyDescent="0.2">
      <c r="B19" s="1" t="s">
        <v>41</v>
      </c>
      <c r="D19" s="1">
        <f>50*C4</f>
        <v>42</v>
      </c>
      <c r="E19" s="1">
        <f>D19*E10</f>
        <v>294</v>
      </c>
      <c r="G19" s="31">
        <f>'Price list REWE '!E16</f>
        <v>0.92</v>
      </c>
      <c r="H19" s="31">
        <f>G19/1000*D19</f>
        <v>3.8640000000000001E-2</v>
      </c>
      <c r="J19" s="42">
        <f>'Price list REWE '!H16</f>
        <v>1.53</v>
      </c>
      <c r="K19" s="42">
        <f>J19/1000*D19</f>
        <v>6.4260000000000012E-2</v>
      </c>
      <c r="M19" s="31">
        <f>'Price list ALDI Süd'!E16</f>
        <v>0.96</v>
      </c>
      <c r="N19" s="31">
        <f>M19/1000*D19</f>
        <v>4.0319999999999995E-2</v>
      </c>
      <c r="P19" s="42">
        <f>'Price list ALDI Süd'!H16</f>
        <v>1.46</v>
      </c>
      <c r="Q19" s="42">
        <f>P19/1000*D19</f>
        <v>6.132E-2</v>
      </c>
    </row>
    <row r="20" spans="1:17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252</v>
      </c>
      <c r="E21" s="4">
        <f>D21*$E$10</f>
        <v>1764</v>
      </c>
    </row>
    <row r="22" spans="1:17" x14ac:dyDescent="0.2">
      <c r="C22" s="6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84</v>
      </c>
      <c r="E23" s="4">
        <f>D23*7</f>
        <v>588</v>
      </c>
      <c r="F23" s="4">
        <f>23*C4</f>
        <v>19.32</v>
      </c>
      <c r="G23" s="12"/>
      <c r="J23" s="12"/>
    </row>
    <row r="24" spans="1:17" ht="17" x14ac:dyDescent="0.2">
      <c r="B24" s="16" t="s">
        <v>392</v>
      </c>
      <c r="C24" s="340">
        <v>8.1854823894030371E-2</v>
      </c>
      <c r="D24" s="6">
        <f>C24*$D$23</f>
        <v>6.8758052070985514</v>
      </c>
      <c r="E24" s="1">
        <f>D24*7</f>
        <v>48.13063644968986</v>
      </c>
      <c r="G24" s="33">
        <f>'Price list REWE '!E21</f>
        <v>3.0944625407166124</v>
      </c>
      <c r="H24" s="31">
        <f t="shared" ref="H24:H31" si="1">G24/1000*D24</f>
        <v>2.1276921650630699E-2</v>
      </c>
      <c r="J24" s="45">
        <f>'Price list REWE '!H21</f>
        <v>3.0944625407166124</v>
      </c>
      <c r="K24" s="42">
        <f t="shared" ref="K24:K31" si="2">J24/1000*D24</f>
        <v>2.1276921650630699E-2</v>
      </c>
      <c r="M24" s="31">
        <f>'Price list ALDI Süd'!E21</f>
        <v>2.2475570032573291</v>
      </c>
      <c r="N24" s="31">
        <f t="shared" ref="N24:N31" si="3">M24/1000*D24</f>
        <v>1.5453764146247559E-2</v>
      </c>
      <c r="P24" s="42">
        <f>'Price list ALDI Süd'!H21</f>
        <v>2.2475570032573291</v>
      </c>
      <c r="Q24" s="42">
        <f t="shared" ref="Q24:Q31" si="4">P24/1000*D24</f>
        <v>1.5453764146247559E-2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5">C25*$D$23</f>
        <v>3.5138356362188032</v>
      </c>
      <c r="E25" s="1">
        <f t="shared" ref="E25:E31" si="6">D25*7</f>
        <v>24.596849453531622</v>
      </c>
      <c r="G25" s="33">
        <f>'Price list REWE '!E22</f>
        <v>2.875</v>
      </c>
      <c r="H25" s="31">
        <f t="shared" si="1"/>
        <v>1.0102277454129059E-2</v>
      </c>
      <c r="J25" s="45">
        <f>'Price list REWE '!H22</f>
        <v>5.98</v>
      </c>
      <c r="K25" s="42">
        <f t="shared" si="2"/>
        <v>2.1012737104588442E-2</v>
      </c>
      <c r="M25" s="31">
        <f>'Price list ALDI Süd'!E22</f>
        <v>2.875</v>
      </c>
      <c r="N25" s="31">
        <f t="shared" si="3"/>
        <v>1.0102277454129059E-2</v>
      </c>
      <c r="P25" s="42">
        <f>'Price list ALDI Süd'!H22</f>
        <v>11.96</v>
      </c>
      <c r="Q25" s="42">
        <f t="shared" si="4"/>
        <v>4.2025474209176884E-2</v>
      </c>
    </row>
    <row r="26" spans="1:17" ht="17" x14ac:dyDescent="0.2">
      <c r="B26" s="16" t="s">
        <v>51</v>
      </c>
      <c r="C26" s="340">
        <v>5.5140886754685689E-2</v>
      </c>
      <c r="D26" s="6">
        <f t="shared" si="5"/>
        <v>4.6318344873935979</v>
      </c>
      <c r="E26" s="1">
        <f t="shared" si="6"/>
        <v>32.422841411755186</v>
      </c>
      <c r="G26" s="33">
        <f>'Price list REWE '!E23</f>
        <v>1.76</v>
      </c>
      <c r="H26" s="31">
        <f t="shared" si="1"/>
        <v>8.1520286978127333E-3</v>
      </c>
      <c r="J26" s="45">
        <f>'Price list REWE '!H23</f>
        <v>3.32</v>
      </c>
      <c r="K26" s="42">
        <f t="shared" si="2"/>
        <v>1.5377690498146745E-2</v>
      </c>
      <c r="M26" s="31">
        <f>'Price list ALDI Süd'!E23</f>
        <v>1.99</v>
      </c>
      <c r="N26" s="31">
        <f t="shared" si="3"/>
        <v>9.2173506299132596E-3</v>
      </c>
      <c r="P26" s="42">
        <f>'Price list ALDI Süd'!H23</f>
        <v>3.32</v>
      </c>
      <c r="Q26" s="42">
        <f t="shared" si="4"/>
        <v>1.5377690498146745E-2</v>
      </c>
    </row>
    <row r="27" spans="1:17" ht="17" x14ac:dyDescent="0.2">
      <c r="B27" s="16" t="s">
        <v>394</v>
      </c>
      <c r="C27" s="340">
        <v>7.8411761271535096E-2</v>
      </c>
      <c r="D27" s="6">
        <f t="shared" si="5"/>
        <v>6.5865879468089483</v>
      </c>
      <c r="E27" s="1">
        <f t="shared" si="6"/>
        <v>46.106115627662639</v>
      </c>
      <c r="G27" s="33">
        <f>'Price list REWE '!E24</f>
        <v>1.8349928876244666</v>
      </c>
      <c r="H27" s="31">
        <f t="shared" si="1"/>
        <v>1.2086342036107457E-2</v>
      </c>
      <c r="J27" s="45">
        <f>'Price list REWE '!H24</f>
        <v>3.8264580369843526</v>
      </c>
      <c r="K27" s="42">
        <f t="shared" si="2"/>
        <v>2.5203302385371367E-2</v>
      </c>
      <c r="M27" s="31">
        <f>'Price list ALDI Süd'!E24</f>
        <v>1.4082503556187767</v>
      </c>
      <c r="N27" s="31">
        <f t="shared" si="3"/>
        <v>9.2755648184080497E-3</v>
      </c>
      <c r="P27" s="42">
        <f>'Price list ALDI Süd'!H24</f>
        <v>3.8264580369843526</v>
      </c>
      <c r="Q27" s="42">
        <f t="shared" si="4"/>
        <v>2.5203302385371367E-2</v>
      </c>
    </row>
    <row r="28" spans="1:17" ht="17" x14ac:dyDescent="0.2">
      <c r="B28" s="16" t="s">
        <v>395</v>
      </c>
      <c r="C28" s="340">
        <v>0.10804527200358816</v>
      </c>
      <c r="D28" s="6">
        <f t="shared" si="5"/>
        <v>9.0758028483014055</v>
      </c>
      <c r="E28" s="1">
        <f t="shared" si="6"/>
        <v>63.530619938109837</v>
      </c>
      <c r="G28" s="33">
        <f>'Price list REWE '!E25</f>
        <v>6.2402088772845961</v>
      </c>
      <c r="H28" s="31">
        <f t="shared" si="1"/>
        <v>5.6634905502455257E-2</v>
      </c>
      <c r="J28" s="45">
        <f>'Price list REWE '!H25</f>
        <v>6.5013054830287214</v>
      </c>
      <c r="K28" s="42">
        <f t="shared" si="2"/>
        <v>5.9004566820549609E-2</v>
      </c>
      <c r="M28" s="31">
        <f>'Price list ALDI Süd'!E25</f>
        <v>4.125</v>
      </c>
      <c r="N28" s="31">
        <f t="shared" si="3"/>
        <v>3.7437686749243297E-2</v>
      </c>
      <c r="P28" s="42">
        <f>'Price list ALDI Süd'!H25</f>
        <v>7.041666666666667</v>
      </c>
      <c r="Q28" s="42">
        <f t="shared" si="4"/>
        <v>6.3908778390122392E-2</v>
      </c>
    </row>
    <row r="29" spans="1:17" ht="17" x14ac:dyDescent="0.2">
      <c r="B29" s="16" t="s">
        <v>396</v>
      </c>
      <c r="C29" s="340">
        <v>0.24433687491347134</v>
      </c>
      <c r="D29" s="6">
        <f t="shared" si="5"/>
        <v>20.524297492731591</v>
      </c>
      <c r="E29" s="1">
        <f t="shared" si="6"/>
        <v>143.67008244912114</v>
      </c>
      <c r="G29" s="33">
        <f>'Price list REWE '!E26</f>
        <v>1.0745614035087721</v>
      </c>
      <c r="H29" s="31">
        <f t="shared" si="1"/>
        <v>2.2054617919821232E-2</v>
      </c>
      <c r="J29" s="45">
        <f>'Price list REWE '!H26</f>
        <v>3.2675438596491229</v>
      </c>
      <c r="K29" s="42">
        <f t="shared" si="2"/>
        <v>6.7064042245986999E-2</v>
      </c>
      <c r="M29" s="31">
        <f>'Price list ALDI Süd'!E26</f>
        <v>1.0745614035087721</v>
      </c>
      <c r="N29" s="31">
        <f t="shared" si="3"/>
        <v>2.2054617919821232E-2</v>
      </c>
      <c r="P29" s="42">
        <f>'Price list ALDI Süd'!H26</f>
        <v>1.2938596491228069</v>
      </c>
      <c r="Q29" s="42">
        <f t="shared" si="4"/>
        <v>2.6555560352437804E-2</v>
      </c>
    </row>
    <row r="30" spans="1:17" ht="17" x14ac:dyDescent="0.2">
      <c r="B30" s="16" t="s">
        <v>63</v>
      </c>
      <c r="C30" s="340">
        <v>0.19518950227051848</v>
      </c>
      <c r="D30" s="6">
        <f t="shared" si="5"/>
        <v>16.395918190723552</v>
      </c>
      <c r="E30" s="1">
        <f t="shared" si="6"/>
        <v>114.77142733506487</v>
      </c>
      <c r="G30" s="33">
        <f>'Price list REWE '!E27</f>
        <v>1.79</v>
      </c>
      <c r="H30" s="31">
        <f t="shared" si="1"/>
        <v>2.9348693561395162E-2</v>
      </c>
      <c r="J30" s="45">
        <f>'Price list REWE '!H27</f>
        <v>3.58</v>
      </c>
      <c r="K30" s="42">
        <f t="shared" si="2"/>
        <v>5.8697387122790323E-2</v>
      </c>
      <c r="M30" s="31">
        <f>'Price list ALDI Süd'!E27</f>
        <v>1.49</v>
      </c>
      <c r="N30" s="31">
        <f t="shared" si="3"/>
        <v>2.4429918104178092E-2</v>
      </c>
      <c r="P30" s="42">
        <f>'Price list ALDI Süd'!H27</f>
        <v>1.78</v>
      </c>
      <c r="Q30" s="42">
        <f t="shared" si="4"/>
        <v>2.9184734379487924E-2</v>
      </c>
    </row>
    <row r="31" spans="1:17" ht="17" x14ac:dyDescent="0.2">
      <c r="B31" s="16" t="s">
        <v>66</v>
      </c>
      <c r="C31" s="340">
        <v>0.19518950227051848</v>
      </c>
      <c r="D31" s="6">
        <f t="shared" si="5"/>
        <v>16.395918190723552</v>
      </c>
      <c r="E31" s="1">
        <f t="shared" si="6"/>
        <v>114.77142733506487</v>
      </c>
      <c r="G31" s="33">
        <f>'Price list REWE '!E28</f>
        <v>1.99</v>
      </c>
      <c r="H31" s="31">
        <f t="shared" si="1"/>
        <v>3.262787719953987E-2</v>
      </c>
      <c r="J31" s="45">
        <f>'Price list REWE '!H28</f>
        <v>5.3</v>
      </c>
      <c r="K31" s="42">
        <f t="shared" si="2"/>
        <v>8.6898366410834829E-2</v>
      </c>
      <c r="M31" s="31">
        <f>'Price list ALDI Süd'!E28</f>
        <v>1.99</v>
      </c>
      <c r="N31" s="31">
        <f t="shared" si="3"/>
        <v>3.262787719953987E-2</v>
      </c>
      <c r="P31" s="42">
        <f>'Price list ALDI Süd'!H28</f>
        <v>5.3</v>
      </c>
      <c r="Q31" s="42">
        <f t="shared" si="4"/>
        <v>8.6898366410834829E-2</v>
      </c>
    </row>
    <row r="32" spans="1:17" x14ac:dyDescent="0.2">
      <c r="A32" s="9">
        <v>8</v>
      </c>
      <c r="B32" s="16"/>
      <c r="C32" s="340"/>
      <c r="G32" s="33"/>
      <c r="H32" s="31"/>
      <c r="J32" s="45"/>
      <c r="K32" s="42"/>
      <c r="M32" s="31"/>
      <c r="N32" s="31"/>
      <c r="P32" s="42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84</v>
      </c>
      <c r="F33" s="4">
        <f>30*C4</f>
        <v>25.2</v>
      </c>
      <c r="G33" s="12"/>
      <c r="J33" s="12"/>
    </row>
    <row r="34" spans="1:17" ht="17" x14ac:dyDescent="0.2">
      <c r="B34" s="23" t="s">
        <v>70</v>
      </c>
      <c r="C34" s="340">
        <v>0.21012979994107583</v>
      </c>
      <c r="D34" s="6">
        <f>C34*D33</f>
        <v>17.650903195050368</v>
      </c>
      <c r="E34" s="1">
        <f t="shared" ref="E34:E39" si="7">D34*7</f>
        <v>123.55632236535257</v>
      </c>
      <c r="G34" s="33">
        <f>'Price list REWE '!E31</f>
        <v>1.75</v>
      </c>
      <c r="H34" s="31">
        <f t="shared" ref="H34:H39" si="8">G34/1000*D34</f>
        <v>3.0889080591338144E-2</v>
      </c>
      <c r="J34" s="45">
        <f>'Price list REWE '!H31</f>
        <v>2.79</v>
      </c>
      <c r="K34" s="42">
        <f t="shared" ref="K34:K39" si="9">J34/1000*D34</f>
        <v>4.9246019914190524E-2</v>
      </c>
      <c r="M34" s="31">
        <f>'Price list ALDI Süd'!E31</f>
        <v>1.5</v>
      </c>
      <c r="N34" s="31">
        <f t="shared" ref="N34:N39" si="10">M34/1000*D34</f>
        <v>2.6476354792575554E-2</v>
      </c>
      <c r="P34" s="42">
        <f>'Price list ALDI Süd'!H31</f>
        <v>2.19</v>
      </c>
      <c r="Q34" s="42">
        <f t="shared" ref="Q34:Q39" si="11">P34/1000*D34</f>
        <v>3.8655477997160306E-2</v>
      </c>
    </row>
    <row r="35" spans="1:17" ht="17" x14ac:dyDescent="0.2">
      <c r="B35" s="16" t="s">
        <v>73</v>
      </c>
      <c r="C35" s="340">
        <v>0.19042830974833957</v>
      </c>
      <c r="D35" s="6">
        <f>C35*D33</f>
        <v>15.995978018860525</v>
      </c>
      <c r="E35" s="1">
        <f t="shared" si="7"/>
        <v>111.97184613202367</v>
      </c>
      <c r="G35" s="33">
        <f>'Price list REWE '!E32</f>
        <v>2.79</v>
      </c>
      <c r="H35" s="31">
        <f t="shared" si="8"/>
        <v>4.4628778672620863E-2</v>
      </c>
      <c r="J35" s="45">
        <f>'Price list REWE '!H32</f>
        <v>5.18</v>
      </c>
      <c r="K35" s="42">
        <f t="shared" si="9"/>
        <v>8.2859166137697518E-2</v>
      </c>
      <c r="M35" s="31">
        <f>'Price list ALDI Süd'!E32</f>
        <v>1.79</v>
      </c>
      <c r="N35" s="31">
        <f t="shared" si="10"/>
        <v>2.8632800653760341E-2</v>
      </c>
      <c r="P35" s="42">
        <f>'Price list ALDI Süd'!H32</f>
        <v>4.58</v>
      </c>
      <c r="Q35" s="42">
        <f t="shared" si="11"/>
        <v>7.3261579326381207E-2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15.995978018860525</v>
      </c>
      <c r="E36" s="1">
        <f t="shared" si="7"/>
        <v>111.97184613202367</v>
      </c>
      <c r="G36" s="33">
        <f>'Price list REWE '!E33</f>
        <v>1.7</v>
      </c>
      <c r="H36" s="31">
        <f t="shared" si="8"/>
        <v>2.7193162632062891E-2</v>
      </c>
      <c r="J36" s="45">
        <f>'Price list REWE '!H33</f>
        <v>2.27</v>
      </c>
      <c r="K36" s="42">
        <f t="shared" si="9"/>
        <v>3.6310870102813392E-2</v>
      </c>
      <c r="M36" s="31">
        <f>'Price list ALDI Süd'!E33</f>
        <v>1.7</v>
      </c>
      <c r="N36" s="31">
        <f t="shared" si="10"/>
        <v>2.7193162632062891E-2</v>
      </c>
      <c r="P36" s="42">
        <f>'Price list ALDI Süd'!H33</f>
        <v>1.98</v>
      </c>
      <c r="Q36" s="42">
        <f t="shared" si="11"/>
        <v>3.1672036477343839E-2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15.995978018860525</v>
      </c>
      <c r="E37" s="1">
        <f t="shared" si="7"/>
        <v>111.97184613202367</v>
      </c>
      <c r="G37" s="33">
        <f>'Price list REWE '!E34</f>
        <v>2.125</v>
      </c>
      <c r="H37" s="31">
        <f t="shared" si="8"/>
        <v>3.3991453290078619E-2</v>
      </c>
      <c r="J37" s="45">
        <f>'Price list REWE '!H34</f>
        <v>2.4750000000000001</v>
      </c>
      <c r="K37" s="42">
        <f t="shared" si="9"/>
        <v>3.95900455966798E-2</v>
      </c>
      <c r="M37" s="31">
        <f>'Price list ALDI Süd'!E34</f>
        <v>2</v>
      </c>
      <c r="N37" s="31">
        <f t="shared" si="10"/>
        <v>3.199195603772105E-2</v>
      </c>
      <c r="P37" s="42">
        <f>'Price list ALDI Süd'!H34</f>
        <v>2.4750000000000001</v>
      </c>
      <c r="Q37" s="42">
        <f t="shared" si="11"/>
        <v>3.95900455966798E-2</v>
      </c>
    </row>
    <row r="38" spans="1:17" ht="17" x14ac:dyDescent="0.2">
      <c r="B38" s="16" t="s">
        <v>82</v>
      </c>
      <c r="C38" s="340">
        <v>0.10929263540695267</v>
      </c>
      <c r="D38" s="6">
        <f t="shared" si="12"/>
        <v>9.1805813741840243</v>
      </c>
      <c r="E38" s="1">
        <f t="shared" si="7"/>
        <v>64.264069619288165</v>
      </c>
      <c r="G38" s="33">
        <f>'Price list REWE '!E35</f>
        <v>3.98</v>
      </c>
      <c r="H38" s="31">
        <f t="shared" si="8"/>
        <v>3.653871386925242E-2</v>
      </c>
      <c r="J38" s="45">
        <f>'Price list REWE '!H35</f>
        <v>6.99</v>
      </c>
      <c r="K38" s="42">
        <f t="shared" si="9"/>
        <v>6.4172263805546331E-2</v>
      </c>
      <c r="M38" s="31">
        <f>'Price list ALDI Süd'!E35</f>
        <v>3.79</v>
      </c>
      <c r="N38" s="31">
        <f t="shared" si="10"/>
        <v>3.4794403408157454E-2</v>
      </c>
      <c r="P38" s="42">
        <f>'Price list ALDI Süd'!H35</f>
        <v>4.4800000000000004</v>
      </c>
      <c r="Q38" s="42">
        <f t="shared" si="11"/>
        <v>4.1129004556344433E-2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9.1805813741840243</v>
      </c>
      <c r="E39" s="1">
        <f t="shared" si="7"/>
        <v>64.264069619288165</v>
      </c>
      <c r="G39" s="76">
        <f>'Price list REWE '!E36</f>
        <v>2.9289940828402368</v>
      </c>
      <c r="H39" s="31">
        <f t="shared" si="8"/>
        <v>2.6889868522018297E-2</v>
      </c>
      <c r="J39" s="46">
        <f>'Price list REWE '!H36</f>
        <v>3.8165680473372783</v>
      </c>
      <c r="K39" s="42">
        <f t="shared" si="9"/>
        <v>3.503831352869051E-2</v>
      </c>
      <c r="M39" s="31">
        <f>'Price list ALDI Süd'!E36</f>
        <v>2.3372781065088759</v>
      </c>
      <c r="N39" s="31">
        <f t="shared" si="10"/>
        <v>2.1457571850903488E-2</v>
      </c>
      <c r="P39" s="42">
        <f>'Price list ALDI Süd'!H36</f>
        <v>3.8165680473372783</v>
      </c>
      <c r="Q39" s="42">
        <f t="shared" si="11"/>
        <v>3.503831352869051E-2</v>
      </c>
    </row>
    <row r="40" spans="1:17" x14ac:dyDescent="0.2">
      <c r="A40" s="9">
        <v>6</v>
      </c>
      <c r="C40" s="340"/>
      <c r="D40" s="6"/>
      <c r="G40" s="35"/>
      <c r="H40" s="31"/>
      <c r="J40" s="46"/>
      <c r="K40" s="42"/>
      <c r="M40" s="31"/>
      <c r="N40" s="31"/>
      <c r="P40" s="42"/>
      <c r="Q40" s="42"/>
    </row>
    <row r="41" spans="1:17" s="4" customFormat="1" ht="17" x14ac:dyDescent="0.2">
      <c r="A41" s="12"/>
      <c r="B41" s="186" t="s">
        <v>88</v>
      </c>
      <c r="C41" s="341"/>
      <c r="D41" s="29">
        <f>100*C4</f>
        <v>84</v>
      </c>
      <c r="F41" s="4">
        <f>25*C4</f>
        <v>21</v>
      </c>
      <c r="G41" s="12"/>
      <c r="J41" s="12"/>
    </row>
    <row r="42" spans="1:17" ht="17" x14ac:dyDescent="0.2">
      <c r="B42" s="16" t="s">
        <v>89</v>
      </c>
      <c r="C42" s="340">
        <v>0.24393305975418372</v>
      </c>
      <c r="D42" s="1">
        <f>C42*$D$41</f>
        <v>20.490377019351431</v>
      </c>
      <c r="E42" s="1">
        <f>D42*7</f>
        <v>143.43263913546002</v>
      </c>
      <c r="G42" s="33">
        <f>'Price list REWE '!E39</f>
        <v>1.49</v>
      </c>
      <c r="H42" s="31">
        <f>G42/1000*D42</f>
        <v>3.0530661758833632E-2</v>
      </c>
      <c r="J42" s="45">
        <f>'Price list REWE '!H39</f>
        <v>1.49</v>
      </c>
      <c r="K42" s="42">
        <f>J42/1000*D42</f>
        <v>3.0530661758833632E-2</v>
      </c>
      <c r="M42" s="31">
        <f>'Price list ALDI Süd'!E39</f>
        <v>1.49</v>
      </c>
      <c r="N42" s="31">
        <f>M42/1000*D42</f>
        <v>3.0530661758833632E-2</v>
      </c>
      <c r="P42" s="42">
        <f>'Price list ALDI Süd'!H39</f>
        <v>1.49</v>
      </c>
      <c r="Q42" s="42">
        <f>P42/1000*D42</f>
        <v>3.0530661758833632E-2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8.9294572446063984</v>
      </c>
      <c r="E43" s="1">
        <f>D43*7</f>
        <v>62.506200712244791</v>
      </c>
      <c r="G43" s="31">
        <f>'Price list REWE '!E40</f>
        <v>1.99</v>
      </c>
      <c r="H43" s="31">
        <f>G43/1000*D43</f>
        <v>1.7769619916766732E-2</v>
      </c>
      <c r="J43" s="42">
        <f>'Price list REWE '!H40</f>
        <v>7.3</v>
      </c>
      <c r="K43" s="42">
        <f>J43/1000*D43</f>
        <v>6.5185037885626712E-2</v>
      </c>
      <c r="M43" s="31">
        <f>'Price list ALDI Süd'!E40</f>
        <v>1.99</v>
      </c>
      <c r="N43" s="31">
        <f>M43/1000*D43</f>
        <v>1.7769619916766732E-2</v>
      </c>
      <c r="P43" s="42">
        <f>'Price list ALDI Süd'!H40</f>
        <v>3.32</v>
      </c>
      <c r="Q43" s="42">
        <f>P43/1000*D43</f>
        <v>2.9645798052093244E-2</v>
      </c>
    </row>
    <row r="44" spans="1:17" ht="17" x14ac:dyDescent="0.2">
      <c r="B44" s="16" t="s">
        <v>94</v>
      </c>
      <c r="C44" s="87">
        <v>0.46774770023805184</v>
      </c>
      <c r="D44" s="1">
        <f t="shared" si="13"/>
        <v>39.290806819996355</v>
      </c>
      <c r="E44" s="1">
        <f>D44*7</f>
        <v>275.03564773997448</v>
      </c>
      <c r="G44" s="33">
        <f>'Price list REWE '!E41</f>
        <v>1.79</v>
      </c>
      <c r="H44" s="31">
        <f>G44/1000*D44</f>
        <v>7.0330544207793486E-2</v>
      </c>
      <c r="J44" s="45">
        <f>'Price list REWE '!H41</f>
        <v>3.05</v>
      </c>
      <c r="K44" s="42">
        <f>J44/1000*D44</f>
        <v>0.11983696080098888</v>
      </c>
      <c r="M44" s="31">
        <f>'Price list ALDI Süd'!E41</f>
        <v>1.99</v>
      </c>
      <c r="N44" s="31">
        <f>M44/1000*D44</f>
        <v>7.8188705571792749E-2</v>
      </c>
      <c r="P44" s="42">
        <f>'Price list ALDI Süd'!H41</f>
        <v>1.99</v>
      </c>
      <c r="Q44" s="42">
        <f>P44/1000*D44</f>
        <v>7.8188705571792749E-2</v>
      </c>
    </row>
    <row r="45" spans="1:17" ht="17" x14ac:dyDescent="0.2">
      <c r="B45" s="16" t="s">
        <v>398</v>
      </c>
      <c r="C45" s="87">
        <v>0.10260798307610458</v>
      </c>
      <c r="D45" s="1">
        <f t="shared" si="13"/>
        <v>8.619070578392785</v>
      </c>
      <c r="E45" s="1">
        <f>D45*7</f>
        <v>60.333494048749493</v>
      </c>
      <c r="G45" s="33">
        <f>'Price list REWE '!E42</f>
        <v>6.99</v>
      </c>
      <c r="H45" s="31">
        <f>G45/1000*D45</f>
        <v>6.0247303342965575E-2</v>
      </c>
      <c r="J45" s="45">
        <f>'Price list REWE '!H42</f>
        <v>9.9600000000000009</v>
      </c>
      <c r="K45" s="42">
        <f>J45/1000*D45</f>
        <v>8.5845942960792135E-2</v>
      </c>
      <c r="M45" s="31">
        <f>'Price list ALDI Süd'!E42</f>
        <v>4.9800000000000004</v>
      </c>
      <c r="N45" s="31">
        <f>M45/1000*D45</f>
        <v>4.2922971480396067E-2</v>
      </c>
      <c r="P45" s="42">
        <f>'Price list ALDI Süd'!H42</f>
        <v>7.16</v>
      </c>
      <c r="Q45" s="42">
        <f>P45/1000*D45</f>
        <v>6.1712545341292342E-2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6.6702883376530338</v>
      </c>
      <c r="E46" s="1">
        <f>D46*7</f>
        <v>46.692018363571236</v>
      </c>
      <c r="G46" s="33">
        <f>'Price list REWE '!E43</f>
        <v>10</v>
      </c>
      <c r="H46" s="31">
        <f>G46/1000*D46</f>
        <v>6.6702883376530339E-2</v>
      </c>
      <c r="J46" s="45">
        <f>'Price list REWE '!H43</f>
        <v>10</v>
      </c>
      <c r="K46" s="42">
        <f>J46/1000*D46</f>
        <v>6.6702883376530339E-2</v>
      </c>
      <c r="M46" s="31">
        <f>'Price list ALDI Süd'!E43</f>
        <v>9.9</v>
      </c>
      <c r="N46" s="31">
        <f>M46/1000*D46</f>
        <v>6.6035854542765046E-2</v>
      </c>
      <c r="P46" s="42">
        <f>'Price list ALDI Süd'!H43</f>
        <v>9.9</v>
      </c>
      <c r="Q46" s="42">
        <f>P46/1000*D46</f>
        <v>6.6035854542765046E-2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168</v>
      </c>
      <c r="E48" s="4">
        <f>D48*$E$10</f>
        <v>1176</v>
      </c>
      <c r="F48" s="4">
        <f>126*C4</f>
        <v>105.83999999999999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75.542922901353734</v>
      </c>
      <c r="E49" s="1">
        <f t="shared" ref="E49:E58" si="14">D49*$E$10</f>
        <v>528.80046030947619</v>
      </c>
      <c r="G49" s="58">
        <f>'Price list REWE '!E46</f>
        <v>1.19</v>
      </c>
      <c r="H49" s="31">
        <f t="shared" ref="H49:H58" si="15">G49/1000*D49</f>
        <v>8.9896078252610936E-2</v>
      </c>
      <c r="J49" s="187">
        <f>'Price list REWE '!H46</f>
        <v>2.99</v>
      </c>
      <c r="K49" s="42">
        <f t="shared" ref="K49:K58" si="16">J49/1000*D49</f>
        <v>0.22587333947504767</v>
      </c>
      <c r="M49" s="31">
        <f>'Price list ALDI Süd'!E46</f>
        <v>0.94499999999999995</v>
      </c>
      <c r="N49" s="31">
        <f t="shared" ref="N49:N58" si="17">M49/1000*D49</f>
        <v>7.1388062141779271E-2</v>
      </c>
      <c r="P49" s="42">
        <f>'Price list ALDI Süd'!H46</f>
        <v>1.92</v>
      </c>
      <c r="Q49" s="42">
        <f t="shared" ref="Q49:Q58" si="18">P49/1000*D49</f>
        <v>0.14504241197059917</v>
      </c>
    </row>
    <row r="50" spans="1:17" ht="17" x14ac:dyDescent="0.2">
      <c r="B50" s="26" t="s">
        <v>106</v>
      </c>
      <c r="C50" s="342">
        <v>4.5787970295011769E-2</v>
      </c>
      <c r="D50" s="1">
        <f t="shared" ref="D50:D58" si="19">C50*$D$48</f>
        <v>7.6923790095619768</v>
      </c>
      <c r="E50" s="1">
        <f t="shared" si="14"/>
        <v>53.84665306693384</v>
      </c>
      <c r="G50" s="58">
        <f>'Price list REWE '!E47</f>
        <v>1.79</v>
      </c>
      <c r="H50" s="31">
        <f t="shared" si="15"/>
        <v>1.376935842711594E-2</v>
      </c>
      <c r="J50" s="187">
        <f>'Price list REWE '!H47</f>
        <v>3.65</v>
      </c>
      <c r="K50" s="42">
        <f t="shared" si="16"/>
        <v>2.8077183384901217E-2</v>
      </c>
      <c r="M50" s="31">
        <f>'Price list ALDI Süd'!E47</f>
        <v>1.79</v>
      </c>
      <c r="N50" s="31">
        <f t="shared" si="17"/>
        <v>1.376935842711594E-2</v>
      </c>
      <c r="P50" s="42">
        <f>'Price list ALDI Süd'!H47</f>
        <v>3.65</v>
      </c>
      <c r="Q50" s="42">
        <f t="shared" si="18"/>
        <v>2.8077183384901217E-2</v>
      </c>
    </row>
    <row r="51" spans="1:17" ht="17" x14ac:dyDescent="0.2">
      <c r="B51" s="26" t="s">
        <v>109</v>
      </c>
      <c r="C51" s="342">
        <v>2.019481503339627E-2</v>
      </c>
      <c r="D51" s="1">
        <f t="shared" si="19"/>
        <v>3.3927289256105735</v>
      </c>
      <c r="E51" s="1">
        <f t="shared" si="14"/>
        <v>23.749102479274015</v>
      </c>
      <c r="G51" s="58">
        <f>'Price list REWE '!E48</f>
        <v>4.99</v>
      </c>
      <c r="H51" s="31">
        <f t="shared" si="15"/>
        <v>1.6929717338796762E-2</v>
      </c>
      <c r="J51" s="187">
        <f>'Price list REWE '!H48</f>
        <v>4.99</v>
      </c>
      <c r="K51" s="42">
        <f t="shared" si="16"/>
        <v>1.6929717338796762E-2</v>
      </c>
      <c r="M51" s="31">
        <f>'Price list ALDI Süd'!E48</f>
        <v>3.98</v>
      </c>
      <c r="N51" s="31">
        <f t="shared" si="17"/>
        <v>1.3503061123930083E-2</v>
      </c>
      <c r="P51" s="42">
        <f>'Price list ALDI Süd'!H48</f>
        <v>3.98</v>
      </c>
      <c r="Q51" s="42">
        <f t="shared" si="18"/>
        <v>1.3503061123930083E-2</v>
      </c>
    </row>
    <row r="52" spans="1:17" ht="17" x14ac:dyDescent="0.2">
      <c r="B52" s="26" t="s">
        <v>111</v>
      </c>
      <c r="C52" s="342">
        <v>2.0560497203855613E-2</v>
      </c>
      <c r="D52" s="1">
        <f t="shared" si="19"/>
        <v>3.4541635302477429</v>
      </c>
      <c r="E52" s="1">
        <f t="shared" si="14"/>
        <v>24.1791447117342</v>
      </c>
      <c r="G52" s="58">
        <f>'Price list REWE '!E49</f>
        <v>7.98</v>
      </c>
      <c r="H52" s="31">
        <f t="shared" si="15"/>
        <v>2.7564224971376991E-2</v>
      </c>
      <c r="J52" s="187">
        <f>'Price list REWE '!H49</f>
        <v>10.63</v>
      </c>
      <c r="K52" s="42">
        <f t="shared" si="16"/>
        <v>3.6717758326533512E-2</v>
      </c>
      <c r="M52" s="31">
        <f>'Price list ALDI Süd'!E49</f>
        <v>7.98</v>
      </c>
      <c r="N52" s="31">
        <f t="shared" si="17"/>
        <v>2.7564224971376991E-2</v>
      </c>
      <c r="P52" s="42">
        <f>'Price list ALDI Süd'!H49</f>
        <v>9.9700000000000006</v>
      </c>
      <c r="Q52" s="42">
        <f t="shared" si="18"/>
        <v>3.4438010396570004E-2</v>
      </c>
    </row>
    <row r="53" spans="1:17" ht="17" x14ac:dyDescent="0.2">
      <c r="B53" s="26" t="s">
        <v>114</v>
      </c>
      <c r="C53" s="342">
        <v>1.772181875645604E-2</v>
      </c>
      <c r="D53" s="1">
        <f t="shared" si="19"/>
        <v>2.9772655510846149</v>
      </c>
      <c r="E53" s="1">
        <f t="shared" si="14"/>
        <v>20.840858857592305</v>
      </c>
      <c r="G53" s="58">
        <f>'Price list REWE '!E50</f>
        <v>5.98</v>
      </c>
      <c r="H53" s="31">
        <f t="shared" si="15"/>
        <v>1.7804047995485996E-2</v>
      </c>
      <c r="J53" s="187">
        <f>'Price list REWE '!H50</f>
        <v>10.63</v>
      </c>
      <c r="K53" s="42">
        <f t="shared" si="16"/>
        <v>3.1648332808029457E-2</v>
      </c>
      <c r="M53" s="31">
        <f>'Price list ALDI Süd'!E50</f>
        <v>5.98</v>
      </c>
      <c r="N53" s="31">
        <f t="shared" si="17"/>
        <v>1.7804047995485996E-2</v>
      </c>
      <c r="P53" s="42">
        <f>'Price list ALDI Süd'!H50</f>
        <v>9.9700000000000006</v>
      </c>
      <c r="Q53" s="42">
        <f t="shared" si="18"/>
        <v>2.9683337544313616E-2</v>
      </c>
    </row>
    <row r="54" spans="1:17" ht="17" x14ac:dyDescent="0.2">
      <c r="B54" s="26" t="s">
        <v>117</v>
      </c>
      <c r="C54" s="342">
        <v>7.018785236884495E-2</v>
      </c>
      <c r="D54" s="1">
        <f t="shared" si="19"/>
        <v>11.791559197965952</v>
      </c>
      <c r="E54" s="1">
        <f t="shared" si="14"/>
        <v>82.540914385761667</v>
      </c>
      <c r="G54" s="58">
        <f>'Price list REWE '!E51</f>
        <v>5.58</v>
      </c>
      <c r="H54" s="31">
        <f t="shared" si="15"/>
        <v>6.5796900324650007E-2</v>
      </c>
      <c r="J54" s="187">
        <f>'Price list REWE '!H51</f>
        <v>5.58</v>
      </c>
      <c r="K54" s="42">
        <f t="shared" si="16"/>
        <v>6.5796900324650007E-2</v>
      </c>
      <c r="M54" s="31">
        <f>'Price list ALDI Süd'!E51</f>
        <v>3.99</v>
      </c>
      <c r="N54" s="31">
        <f t="shared" si="17"/>
        <v>4.7048321199884155E-2</v>
      </c>
      <c r="P54" s="42">
        <f>'Price list ALDI Süd'!H51</f>
        <v>9.9700000000000006</v>
      </c>
      <c r="Q54" s="42">
        <f t="shared" si="18"/>
        <v>0.11756184520372057</v>
      </c>
    </row>
    <row r="55" spans="1:17" ht="17" x14ac:dyDescent="0.2">
      <c r="B55" s="26" t="s">
        <v>119</v>
      </c>
      <c r="C55" s="342">
        <v>9.5944736748873077E-2</v>
      </c>
      <c r="D55" s="1">
        <f t="shared" si="19"/>
        <v>16.118715773810678</v>
      </c>
      <c r="E55" s="1">
        <f t="shared" si="14"/>
        <v>112.83101041667474</v>
      </c>
      <c r="G55" s="58">
        <f>'Price list REWE '!E52</f>
        <v>3.58</v>
      </c>
      <c r="H55" s="31">
        <f t="shared" si="15"/>
        <v>5.7705002470242232E-2</v>
      </c>
      <c r="J55" s="187">
        <f>'Price list REWE '!H52</f>
        <v>3.58</v>
      </c>
      <c r="K55" s="42">
        <f t="shared" si="16"/>
        <v>5.7705002470242232E-2</v>
      </c>
      <c r="M55" s="31">
        <f>'Price list ALDI Süd'!E52</f>
        <v>3.38</v>
      </c>
      <c r="N55" s="31">
        <f t="shared" si="17"/>
        <v>5.4481259315480084E-2</v>
      </c>
      <c r="P55" s="42">
        <f>'Price list ALDI Süd'!H52</f>
        <v>3.38</v>
      </c>
      <c r="Q55" s="42">
        <f t="shared" si="18"/>
        <v>5.4481259315480084E-2</v>
      </c>
    </row>
    <row r="56" spans="1:17" ht="17" x14ac:dyDescent="0.2">
      <c r="B56" s="26" t="s">
        <v>121</v>
      </c>
      <c r="C56" s="342">
        <v>0.21388130862220195</v>
      </c>
      <c r="D56" s="1">
        <f t="shared" si="19"/>
        <v>35.932059848529924</v>
      </c>
      <c r="E56" s="1">
        <f t="shared" si="14"/>
        <v>251.52441893970948</v>
      </c>
      <c r="G56" s="58">
        <f>'Price list REWE '!E53</f>
        <v>1.29</v>
      </c>
      <c r="H56" s="31">
        <f t="shared" si="15"/>
        <v>4.6352357204603609E-2</v>
      </c>
      <c r="J56" s="187">
        <f>'Price list REWE '!H53</f>
        <v>1.99</v>
      </c>
      <c r="K56" s="42">
        <f t="shared" si="16"/>
        <v>7.1504799098574545E-2</v>
      </c>
      <c r="M56" s="31">
        <f>'Price list ALDI Süd'!E53</f>
        <v>1.29</v>
      </c>
      <c r="N56" s="31">
        <f t="shared" si="17"/>
        <v>4.6352357204603609E-2</v>
      </c>
      <c r="P56" s="42">
        <f>'Price list ALDI Süd'!H53</f>
        <v>1.99</v>
      </c>
      <c r="Q56" s="42">
        <f t="shared" si="18"/>
        <v>7.1504799098574545E-2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1.9665876360254213</v>
      </c>
      <c r="E57" s="1">
        <f t="shared" si="14"/>
        <v>13.766113452177949</v>
      </c>
      <c r="G57" s="31">
        <f>'Price list REWE '!E54</f>
        <v>5.98</v>
      </c>
      <c r="H57" s="31">
        <f t="shared" si="15"/>
        <v>1.176019406343202E-2</v>
      </c>
      <c r="J57" s="42">
        <f>'Price list REWE '!H54</f>
        <v>5.98</v>
      </c>
      <c r="K57" s="42">
        <f t="shared" si="16"/>
        <v>1.176019406343202E-2</v>
      </c>
      <c r="M57" s="31">
        <f>'Price list ALDI Süd'!E54</f>
        <v>3.98</v>
      </c>
      <c r="N57" s="31">
        <f t="shared" si="17"/>
        <v>7.8270187913811774E-3</v>
      </c>
      <c r="P57" s="42">
        <f>'Price list ALDI Süd'!H54</f>
        <v>3.98</v>
      </c>
      <c r="Q57" s="42">
        <f t="shared" si="18"/>
        <v>7.8270187913811774E-3</v>
      </c>
    </row>
    <row r="58" spans="1:17" ht="17" x14ac:dyDescent="0.2">
      <c r="B58" s="26" t="s">
        <v>126</v>
      </c>
      <c r="C58" s="87">
        <v>5.4354866820293855E-2</v>
      </c>
      <c r="D58" s="1">
        <f t="shared" si="19"/>
        <v>9.1316176258093673</v>
      </c>
      <c r="E58" s="1">
        <f t="shared" si="14"/>
        <v>63.921323380665569</v>
      </c>
      <c r="G58" s="31">
        <f>'Price list REWE '!E55</f>
        <v>4.9800000000000004</v>
      </c>
      <c r="H58" s="31">
        <f t="shared" si="15"/>
        <v>4.547545577653065E-2</v>
      </c>
      <c r="J58" s="42">
        <f>'Price list REWE '!H55</f>
        <v>4.9800000000000004</v>
      </c>
      <c r="K58" s="42">
        <f t="shared" si="16"/>
        <v>4.547545577653065E-2</v>
      </c>
      <c r="M58" s="31">
        <f>'Price list ALDI Süd'!E55</f>
        <v>3.98</v>
      </c>
      <c r="N58" s="31">
        <f t="shared" si="17"/>
        <v>3.6343838150721279E-2</v>
      </c>
      <c r="P58" s="42">
        <f>'Price list ALDI Süd'!H55</f>
        <v>3.98</v>
      </c>
      <c r="Q58" s="42">
        <f t="shared" si="18"/>
        <v>3.6343838150721279E-2</v>
      </c>
    </row>
    <row r="59" spans="1:17" x14ac:dyDescent="0.2">
      <c r="A59" s="9">
        <v>10</v>
      </c>
      <c r="B59" s="26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210</v>
      </c>
      <c r="E60" s="4">
        <f>D60*$E$10</f>
        <v>1470</v>
      </c>
      <c r="F60" s="4">
        <f>153*C4</f>
        <v>128.51999999999998</v>
      </c>
    </row>
    <row r="61" spans="1:17" ht="17" x14ac:dyDescent="0.2">
      <c r="B61" s="1" t="s">
        <v>129</v>
      </c>
      <c r="D61" s="1">
        <f>100*C4</f>
        <v>84</v>
      </c>
      <c r="E61" s="1">
        <f t="shared" ref="E61:E69" si="20">D61*$E$10</f>
        <v>588</v>
      </c>
      <c r="G61" s="31">
        <f>'Price list REWE '!E58</f>
        <v>1.05</v>
      </c>
      <c r="H61" s="31">
        <f t="shared" ref="H61:H69" si="21">G61/1000*D61</f>
        <v>8.8200000000000014E-2</v>
      </c>
      <c r="J61" s="42">
        <f>'Price list REWE '!H58</f>
        <v>1.25</v>
      </c>
      <c r="K61" s="42">
        <f t="shared" ref="K61:K69" si="22">J61/1000*D61</f>
        <v>0.105</v>
      </c>
      <c r="M61" s="31">
        <f>'Price list ALDI Süd'!E58</f>
        <v>1.05</v>
      </c>
      <c r="N61" s="31">
        <f t="shared" ref="N61:N69" si="23">M61/1000*D61</f>
        <v>8.8200000000000014E-2</v>
      </c>
      <c r="P61" s="42">
        <f>'Price list ALDI Süd'!H58</f>
        <v>1.25</v>
      </c>
      <c r="Q61" s="42">
        <f t="shared" ref="Q61:Q69" si="24">P61/1000*D61</f>
        <v>0.105</v>
      </c>
    </row>
    <row r="62" spans="1:17" ht="17" x14ac:dyDescent="0.2">
      <c r="B62" s="1" t="s">
        <v>132</v>
      </c>
      <c r="D62" s="1">
        <f>80*C4</f>
        <v>67.2</v>
      </c>
      <c r="E62" s="1">
        <f t="shared" si="20"/>
        <v>470.40000000000003</v>
      </c>
      <c r="G62" s="31">
        <f>'Price list REWE '!E59</f>
        <v>1.7</v>
      </c>
      <c r="H62" s="31">
        <f t="shared" si="21"/>
        <v>0.11423999999999999</v>
      </c>
      <c r="J62" s="42">
        <f>'Price list REWE '!H59</f>
        <v>2.38</v>
      </c>
      <c r="K62" s="42">
        <f t="shared" si="22"/>
        <v>0.15993599999999999</v>
      </c>
      <c r="M62" s="31">
        <f>'Price list ALDI Süd'!E59</f>
        <v>1.7</v>
      </c>
      <c r="N62" s="31">
        <f t="shared" si="23"/>
        <v>0.11423999999999999</v>
      </c>
      <c r="P62" s="42">
        <f>'Price list ALDI Süd'!H59</f>
        <v>2.38</v>
      </c>
      <c r="Q62" s="42">
        <f t="shared" si="24"/>
        <v>0.15993599999999999</v>
      </c>
    </row>
    <row r="63" spans="1:17" ht="17" x14ac:dyDescent="0.2">
      <c r="B63" s="1" t="s">
        <v>135</v>
      </c>
      <c r="D63" s="1">
        <f>10*C4</f>
        <v>8.4</v>
      </c>
      <c r="E63" s="1">
        <f t="shared" si="20"/>
        <v>58.800000000000004</v>
      </c>
      <c r="G63" s="31">
        <f>'Price list REWE '!E60</f>
        <v>4.63</v>
      </c>
      <c r="H63" s="31">
        <f t="shared" si="21"/>
        <v>3.8891999999999996E-2</v>
      </c>
      <c r="J63" s="42">
        <f>'Price list REWE '!H60</f>
        <v>7.37</v>
      </c>
      <c r="K63" s="42">
        <f t="shared" si="22"/>
        <v>6.1907999999999998E-2</v>
      </c>
      <c r="M63" s="31">
        <f>'Price list ALDI Süd'!E60</f>
        <v>4.63</v>
      </c>
      <c r="N63" s="31">
        <f t="shared" si="23"/>
        <v>3.8891999999999996E-2</v>
      </c>
      <c r="P63" s="42">
        <f>'Price list ALDI Süd'!H60</f>
        <v>7.37</v>
      </c>
      <c r="Q63" s="42">
        <f t="shared" si="24"/>
        <v>6.1907999999999998E-2</v>
      </c>
    </row>
    <row r="64" spans="1:17" ht="17" x14ac:dyDescent="0.2">
      <c r="B64" s="1" t="s">
        <v>138</v>
      </c>
      <c r="D64" s="1">
        <f>10*C4</f>
        <v>8.4</v>
      </c>
      <c r="E64" s="1">
        <f t="shared" si="20"/>
        <v>58.800000000000004</v>
      </c>
      <c r="G64" s="31">
        <f>'Price list REWE '!E61</f>
        <v>2.98</v>
      </c>
      <c r="H64" s="31">
        <f t="shared" si="21"/>
        <v>2.5032000000000002E-2</v>
      </c>
      <c r="J64" s="42">
        <f>'Price list REWE '!H61</f>
        <v>4.2</v>
      </c>
      <c r="K64" s="42">
        <f t="shared" si="22"/>
        <v>3.5280000000000006E-2</v>
      </c>
      <c r="M64" s="31">
        <f>'Price list ALDI Süd'!E61</f>
        <v>2.8</v>
      </c>
      <c r="N64" s="31">
        <f t="shared" si="23"/>
        <v>2.3519999999999999E-2</v>
      </c>
      <c r="P64" s="42">
        <f>'Price list ALDI Süd'!H61</f>
        <v>4.2</v>
      </c>
      <c r="Q64" s="42">
        <f t="shared" si="24"/>
        <v>3.5280000000000006E-2</v>
      </c>
    </row>
    <row r="65" spans="1:17" ht="17" x14ac:dyDescent="0.2">
      <c r="B65" s="1" t="s">
        <v>141</v>
      </c>
      <c r="D65" s="1">
        <f>10*C4</f>
        <v>8.4</v>
      </c>
      <c r="E65" s="1">
        <f t="shared" si="20"/>
        <v>58.800000000000004</v>
      </c>
      <c r="G65" s="31">
        <f>'Price list REWE '!E62</f>
        <v>7.92</v>
      </c>
      <c r="H65" s="31">
        <f t="shared" si="21"/>
        <v>6.6528000000000004E-2</v>
      </c>
      <c r="J65" s="42">
        <f>'Price list REWE '!H62</f>
        <v>10.32</v>
      </c>
      <c r="K65" s="42">
        <f t="shared" si="22"/>
        <v>8.6688000000000015E-2</v>
      </c>
      <c r="M65" s="31">
        <f>'Price list ALDI Süd'!E62</f>
        <v>7.92</v>
      </c>
      <c r="N65" s="31">
        <f t="shared" si="23"/>
        <v>6.6528000000000004E-2</v>
      </c>
      <c r="P65" s="42">
        <f>'Price list ALDI Süd'!H62</f>
        <v>10.32</v>
      </c>
      <c r="Q65" s="42">
        <f t="shared" si="24"/>
        <v>8.6688000000000015E-2</v>
      </c>
    </row>
    <row r="66" spans="1:17" ht="17" x14ac:dyDescent="0.2">
      <c r="B66" s="1" t="s">
        <v>144</v>
      </c>
      <c r="D66" s="1">
        <f>10*C4</f>
        <v>8.4</v>
      </c>
      <c r="E66" s="1">
        <f t="shared" si="20"/>
        <v>58.800000000000004</v>
      </c>
      <c r="G66" s="31">
        <f>'Price list REWE '!E63</f>
        <v>3.45</v>
      </c>
      <c r="H66" s="31">
        <f t="shared" si="21"/>
        <v>2.8980000000000006E-2</v>
      </c>
      <c r="J66" s="42">
        <f>'Price list REWE '!H63</f>
        <v>4.45</v>
      </c>
      <c r="K66" s="42">
        <f t="shared" si="22"/>
        <v>3.7380000000000004E-2</v>
      </c>
      <c r="M66" s="31">
        <f>'Price list ALDI Süd'!E63</f>
        <v>3.45</v>
      </c>
      <c r="N66" s="31">
        <f t="shared" si="23"/>
        <v>2.8980000000000006E-2</v>
      </c>
      <c r="P66" s="42">
        <f>'Price list ALDI Süd'!H63</f>
        <v>4.25</v>
      </c>
      <c r="Q66" s="42">
        <f t="shared" si="24"/>
        <v>3.5700000000000003E-2</v>
      </c>
    </row>
    <row r="67" spans="1:17" ht="17" x14ac:dyDescent="0.2">
      <c r="B67" s="1" t="s">
        <v>401</v>
      </c>
      <c r="D67" s="1">
        <f>10*C4</f>
        <v>8.4</v>
      </c>
      <c r="E67" s="1">
        <f t="shared" si="20"/>
        <v>58.800000000000004</v>
      </c>
      <c r="G67" s="31">
        <f>'Price list REWE '!E64</f>
        <v>7.48</v>
      </c>
      <c r="H67" s="31">
        <f t="shared" si="21"/>
        <v>6.2832000000000013E-2</v>
      </c>
      <c r="J67" s="42">
        <f>'Price list REWE '!H64</f>
        <v>12.6</v>
      </c>
      <c r="K67" s="42">
        <f t="shared" si="22"/>
        <v>0.10584</v>
      </c>
      <c r="M67" s="31">
        <f>'Price list ALDI Süd'!E64</f>
        <v>9.9600000000000009</v>
      </c>
      <c r="N67" s="31">
        <f t="shared" si="23"/>
        <v>8.3664000000000002E-2</v>
      </c>
      <c r="P67" s="42">
        <f>'Price list ALDI Süd'!H64</f>
        <v>10.95</v>
      </c>
      <c r="Q67" s="42">
        <f t="shared" si="24"/>
        <v>9.1980000000000006E-2</v>
      </c>
    </row>
    <row r="68" spans="1:17" ht="34" x14ac:dyDescent="0.2">
      <c r="B68" s="1" t="s">
        <v>402</v>
      </c>
      <c r="D68" s="1">
        <f>10*C4</f>
        <v>8.4</v>
      </c>
      <c r="E68" s="1">
        <f t="shared" si="20"/>
        <v>58.800000000000004</v>
      </c>
      <c r="G68" s="31">
        <f>'Price list REWE '!E65</f>
        <v>11.56</v>
      </c>
      <c r="H68" s="31">
        <f t="shared" si="21"/>
        <v>9.710400000000001E-2</v>
      </c>
      <c r="J68" s="42">
        <f>'Price list REWE '!H65</f>
        <v>14.6</v>
      </c>
      <c r="K68" s="42">
        <f t="shared" si="22"/>
        <v>0.12264000000000001</v>
      </c>
      <c r="M68" s="31">
        <f>'Price list ALDI Süd'!E65</f>
        <v>11.56</v>
      </c>
      <c r="N68" s="31">
        <f t="shared" si="23"/>
        <v>9.710400000000001E-2</v>
      </c>
      <c r="P68" s="42">
        <f>'Price list ALDI Süd'!H65</f>
        <v>14.6</v>
      </c>
      <c r="Q68" s="42">
        <f t="shared" si="24"/>
        <v>0.12264000000000001</v>
      </c>
    </row>
    <row r="69" spans="1:17" ht="17" x14ac:dyDescent="0.2">
      <c r="B69" s="1" t="s">
        <v>403</v>
      </c>
      <c r="D69" s="1">
        <f>10*C4</f>
        <v>8.4</v>
      </c>
      <c r="E69" s="1">
        <f t="shared" si="20"/>
        <v>58.800000000000004</v>
      </c>
      <c r="G69" s="31">
        <f>'Price list REWE '!E66</f>
        <v>9.9499999999999993</v>
      </c>
      <c r="H69" s="31">
        <f t="shared" si="21"/>
        <v>8.3579999999999988E-2</v>
      </c>
      <c r="J69" s="42">
        <f>'Price list REWE '!H66</f>
        <v>13.27</v>
      </c>
      <c r="K69" s="42">
        <f t="shared" si="22"/>
        <v>0.111468</v>
      </c>
      <c r="M69" s="31">
        <f>'Price list ALDI Süd'!E66</f>
        <v>9.9499999999999993</v>
      </c>
      <c r="N69" s="31">
        <f t="shared" si="23"/>
        <v>8.3579999999999988E-2</v>
      </c>
      <c r="P69" s="42">
        <f>'Price list ALDI Süd'!H66</f>
        <v>13.28</v>
      </c>
      <c r="Q69" s="42">
        <f t="shared" si="24"/>
        <v>0.11155200000000001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E71/7*C4</f>
        <v>0.73499999999999999</v>
      </c>
      <c r="E71" s="4">
        <v>6.125</v>
      </c>
      <c r="F71" s="4">
        <f>15*C4</f>
        <v>12.6</v>
      </c>
    </row>
    <row r="72" spans="1:17" ht="17" x14ac:dyDescent="0.2">
      <c r="B72" s="1" t="s">
        <v>158</v>
      </c>
      <c r="D72" s="1">
        <f>E72/7*C4</f>
        <v>0.73499999999999999</v>
      </c>
      <c r="E72" s="1">
        <v>6.125</v>
      </c>
      <c r="G72" s="31">
        <f>'Price list REWE '!E69</f>
        <v>13.96</v>
      </c>
      <c r="H72" s="31">
        <f>G72/1000*D72</f>
        <v>1.02606E-2</v>
      </c>
      <c r="J72" s="42">
        <f>'Price list REWE '!H69</f>
        <v>15.9</v>
      </c>
      <c r="K72" s="42">
        <f>J72/1000*D72</f>
        <v>1.1686500000000001E-2</v>
      </c>
      <c r="M72" s="31">
        <f>'Price list ALDI Süd'!E69</f>
        <v>9.7799999999999994</v>
      </c>
      <c r="N72" s="31">
        <f>M72/1000*D72</f>
        <v>7.188299999999999E-3</v>
      </c>
      <c r="P72" s="42">
        <f>'Price list ALDI Süd'!H69</f>
        <v>11.98</v>
      </c>
      <c r="Q72" s="42">
        <f>P72/1000*D72</f>
        <v>8.8053000000000003E-3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E74/7*C4</f>
        <v>0.73499999999999999</v>
      </c>
      <c r="E74" s="4">
        <v>6.125</v>
      </c>
      <c r="F74" s="4">
        <f>15*C4</f>
        <v>12.6</v>
      </c>
    </row>
    <row r="75" spans="1:17" ht="17" x14ac:dyDescent="0.2">
      <c r="B75" s="1" t="s">
        <v>162</v>
      </c>
      <c r="D75" s="1">
        <f>E75/7*C4</f>
        <v>0.73499999999999999</v>
      </c>
      <c r="E75" s="1">
        <v>6.125</v>
      </c>
      <c r="G75" s="31">
        <f>'Price list REWE '!E72</f>
        <v>8.98</v>
      </c>
      <c r="H75" s="31">
        <f>G75/1000*D75</f>
        <v>6.6002999999999999E-3</v>
      </c>
      <c r="J75" s="42">
        <f>'Price list REWE '!H72</f>
        <v>29.9</v>
      </c>
      <c r="K75" s="42">
        <f>J75/1000*D75</f>
        <v>2.19765E-2</v>
      </c>
      <c r="M75" s="31">
        <f>'Price list ALDI Süd'!E72</f>
        <v>8.98</v>
      </c>
      <c r="N75" s="31">
        <f>M75/1000*D75</f>
        <v>6.6002999999999999E-3</v>
      </c>
      <c r="P75" s="42">
        <f>'Price list ALDI Süd'!H72</f>
        <v>17.96</v>
      </c>
      <c r="Q75" s="42">
        <f>P75/1000*D75</f>
        <v>1.32006E-2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E77/7*C4</f>
        <v>3.0449999999999999</v>
      </c>
      <c r="E77" s="4">
        <v>25.375</v>
      </c>
      <c r="F77" s="4">
        <f>62*C4</f>
        <v>52.08</v>
      </c>
    </row>
    <row r="78" spans="1:17" ht="17" x14ac:dyDescent="0.2">
      <c r="B78" s="1" t="s">
        <v>166</v>
      </c>
      <c r="D78" s="1">
        <f>E78/7*C4</f>
        <v>3.0449999999999999</v>
      </c>
      <c r="E78" s="1">
        <v>25.375</v>
      </c>
      <c r="G78" s="31">
        <f>'Price list REWE '!E75</f>
        <v>9.98</v>
      </c>
      <c r="H78" s="31">
        <f>G78/1000*D78</f>
        <v>3.0389100000000002E-2</v>
      </c>
      <c r="J78" s="42">
        <f>'Price list REWE '!H75</f>
        <v>34.9</v>
      </c>
      <c r="K78" s="42">
        <f>J78/1000*D78</f>
        <v>0.1062705</v>
      </c>
      <c r="M78" s="31">
        <f>'Price list ALDI Süd'!E75</f>
        <v>9.98</v>
      </c>
      <c r="N78" s="31">
        <f>M78/1000*D78</f>
        <v>3.0389100000000002E-2</v>
      </c>
      <c r="P78" s="42">
        <f>'Price list ALDI Süd'!H75</f>
        <v>24.99</v>
      </c>
      <c r="Q78" s="42">
        <f>P78/1000*D78</f>
        <v>7.6094549999999997E-2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10.92</v>
      </c>
      <c r="E80" s="4">
        <f>D80*E10</f>
        <v>76.44</v>
      </c>
      <c r="F80" s="4">
        <f>19*C4</f>
        <v>15.959999999999999</v>
      </c>
    </row>
    <row r="81" spans="1:17" ht="17" x14ac:dyDescent="0.2">
      <c r="A81" s="1"/>
      <c r="B81" s="1" t="s">
        <v>170</v>
      </c>
      <c r="D81" s="1">
        <f>13*C4</f>
        <v>10.92</v>
      </c>
      <c r="E81" s="1">
        <v>91</v>
      </c>
      <c r="G81" s="31">
        <f>'Price list REWE '!E78</f>
        <v>3.98</v>
      </c>
      <c r="H81" s="31">
        <f>G81/1000*D81</f>
        <v>4.3461600000000003E-2</v>
      </c>
      <c r="J81" s="42">
        <f>'Price list REWE '!H78</f>
        <v>7.9666666666666677</v>
      </c>
      <c r="K81" s="42">
        <f>J81/1000*D81</f>
        <v>8.6996000000000004E-2</v>
      </c>
      <c r="M81" s="31">
        <f>'Price list ALDI Süd'!E78</f>
        <v>3.98</v>
      </c>
      <c r="N81" s="31">
        <f>M81/1000*D81</f>
        <v>4.3461600000000003E-2</v>
      </c>
      <c r="P81" s="42">
        <f>'Price list ALDI Süd'!H78</f>
        <v>6.38</v>
      </c>
      <c r="Q81" s="42">
        <f>P81/1000*D81</f>
        <v>6.9669599999999998E-2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E83/7*C4</f>
        <v>2.94</v>
      </c>
      <c r="E83" s="4">
        <v>24.5</v>
      </c>
      <c r="F83" s="4">
        <f>40*C4</f>
        <v>33.6</v>
      </c>
    </row>
    <row r="84" spans="1:17" ht="17" x14ac:dyDescent="0.2">
      <c r="B84" s="1" t="s">
        <v>174</v>
      </c>
      <c r="D84" s="1">
        <f>D83/3</f>
        <v>0.98</v>
      </c>
      <c r="E84" s="1">
        <f>D84*7</f>
        <v>6.8599999999999994</v>
      </c>
      <c r="G84" s="31">
        <f>'Price list REWE '!E81</f>
        <v>23.96</v>
      </c>
      <c r="H84" s="31">
        <f>G84/1000*D84</f>
        <v>2.3480800000000003E-2</v>
      </c>
      <c r="J84" s="42">
        <f>'Price list REWE '!H81</f>
        <v>31.96</v>
      </c>
      <c r="K84" s="42">
        <f>J84/1000*D84</f>
        <v>3.1320800000000003E-2</v>
      </c>
      <c r="M84" s="31">
        <f>'Price list ALDI Süd'!E81</f>
        <v>23.96</v>
      </c>
      <c r="N84" s="31">
        <f>M84/1000*D84</f>
        <v>2.3480800000000003E-2</v>
      </c>
      <c r="P84" s="42">
        <f>'Price list ALDI Süd'!H81</f>
        <v>31.96</v>
      </c>
      <c r="Q84" s="42">
        <f>P84/1000*D84</f>
        <v>3.1320800000000003E-2</v>
      </c>
    </row>
    <row r="85" spans="1:17" ht="17" x14ac:dyDescent="0.2">
      <c r="B85" s="1" t="s">
        <v>177</v>
      </c>
      <c r="D85" s="1">
        <f>D83/3</f>
        <v>0.98</v>
      </c>
      <c r="E85" s="1">
        <f>D85*7</f>
        <v>6.8599999999999994</v>
      </c>
      <c r="G85" s="31">
        <f>'Price list REWE '!E82</f>
        <v>7.49</v>
      </c>
      <c r="H85" s="31">
        <f>G85/1000*D85</f>
        <v>7.3401999999999998E-3</v>
      </c>
      <c r="J85" s="42">
        <f>'Price list REWE '!H82</f>
        <v>7.49</v>
      </c>
      <c r="K85" s="42">
        <f>J85/1000*D85</f>
        <v>7.3401999999999998E-3</v>
      </c>
      <c r="M85" s="31">
        <f>'Price list ALDI Süd'!E82</f>
        <v>7.49</v>
      </c>
      <c r="N85" s="31">
        <f>M85/1000*D85</f>
        <v>7.3401999999999998E-3</v>
      </c>
      <c r="P85" s="42">
        <f>'Price list ALDI Süd'!H82</f>
        <v>7.49</v>
      </c>
      <c r="Q85" s="42">
        <f>P85/1000*D85</f>
        <v>7.3401999999999998E-3</v>
      </c>
    </row>
    <row r="86" spans="1:17" ht="17" x14ac:dyDescent="0.2">
      <c r="B86" s="1" t="s">
        <v>179</v>
      </c>
      <c r="D86" s="1">
        <f>D83/3</f>
        <v>0.98</v>
      </c>
      <c r="E86" s="1">
        <f>D86*7</f>
        <v>6.8599999999999994</v>
      </c>
      <c r="G86" s="31">
        <f>'Price list REWE '!E83</f>
        <v>7.6410256410256414</v>
      </c>
      <c r="H86" s="31">
        <f>G86/1000*D86</f>
        <v>7.4882051282051283E-3</v>
      </c>
      <c r="J86" s="42">
        <f>'Price list REWE '!H83</f>
        <v>20.5625</v>
      </c>
      <c r="K86" s="42">
        <f>J86/1000*D86</f>
        <v>2.0151249999999999E-2</v>
      </c>
      <c r="M86" s="31">
        <f>'Price list ALDI Süd'!E83</f>
        <v>7.6410256410256414</v>
      </c>
      <c r="N86" s="31">
        <f>M86/1000*D86</f>
        <v>7.4882051282051283E-3</v>
      </c>
      <c r="P86" s="42">
        <f>'Price list ALDI Süd'!H83</f>
        <v>20.5625</v>
      </c>
      <c r="Q86" s="42">
        <f>P86/1000*D86</f>
        <v>2.0151249999999999E-2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E88/7*C4</f>
        <v>51</v>
      </c>
      <c r="E88" s="4">
        <f>350+50+25</f>
        <v>425</v>
      </c>
      <c r="F88" s="4">
        <f>172*C4</f>
        <v>144.47999999999999</v>
      </c>
    </row>
    <row r="89" spans="1:17" ht="17" x14ac:dyDescent="0.2">
      <c r="B89" s="1" t="s">
        <v>183</v>
      </c>
      <c r="D89" s="1">
        <f t="shared" ref="D89:D94" si="25">$D$88/6</f>
        <v>8.5</v>
      </c>
      <c r="E89" s="1">
        <f t="shared" ref="E89:E94" si="26">D89*$E$10</f>
        <v>59.5</v>
      </c>
      <c r="G89" s="31">
        <f>'Price list REWE '!E86</f>
        <v>4.58</v>
      </c>
      <c r="H89" s="31">
        <f t="shared" ref="H89:H94" si="27">G89/1000*D89</f>
        <v>3.8929999999999999E-2</v>
      </c>
      <c r="J89" s="42">
        <f>'Price list REWE '!H86</f>
        <v>3.3</v>
      </c>
      <c r="K89" s="42">
        <f t="shared" ref="K89:K94" si="28">J89/1000*D89</f>
        <v>2.8049999999999999E-2</v>
      </c>
      <c r="M89" s="31">
        <f>'Price list ALDI Süd'!E86</f>
        <v>3.98</v>
      </c>
      <c r="N89" s="31">
        <f t="shared" ref="N89:N94" si="29">M89/1000*D89</f>
        <v>3.3829999999999999E-2</v>
      </c>
      <c r="P89" s="42">
        <f>'Price list ALDI Süd'!H86</f>
        <v>3.3</v>
      </c>
      <c r="Q89" s="42">
        <f t="shared" ref="Q89:Q94" si="30">P89/1000*D89</f>
        <v>2.8049999999999999E-2</v>
      </c>
    </row>
    <row r="90" spans="1:17" ht="17" x14ac:dyDescent="0.2">
      <c r="B90" s="1" t="s">
        <v>186</v>
      </c>
      <c r="D90" s="1">
        <f t="shared" si="25"/>
        <v>8.5</v>
      </c>
      <c r="E90" s="1">
        <f t="shared" si="26"/>
        <v>59.5</v>
      </c>
      <c r="G90" s="31">
        <f>'Price list REWE '!E87</f>
        <v>2.9749999999999996</v>
      </c>
      <c r="H90" s="31">
        <f t="shared" si="27"/>
        <v>2.5287499999999997E-2</v>
      </c>
      <c r="J90" s="42">
        <f>'Price list REWE '!H87</f>
        <v>3.5833333333333335</v>
      </c>
      <c r="K90" s="42">
        <f t="shared" si="28"/>
        <v>3.0458333333333334E-2</v>
      </c>
      <c r="M90" s="31">
        <f>'Price list ALDI Süd'!E87</f>
        <v>2.9749999999999996</v>
      </c>
      <c r="N90" s="31">
        <f t="shared" si="29"/>
        <v>2.5287499999999997E-2</v>
      </c>
      <c r="P90" s="42">
        <f>'Price list ALDI Süd'!H87</f>
        <v>3.5833333333333335</v>
      </c>
      <c r="Q90" s="42">
        <f t="shared" si="30"/>
        <v>3.0458333333333334E-2</v>
      </c>
    </row>
    <row r="91" spans="1:17" ht="17" x14ac:dyDescent="0.2">
      <c r="B91" s="1" t="s">
        <v>467</v>
      </c>
      <c r="D91" s="1">
        <f t="shared" si="25"/>
        <v>8.5</v>
      </c>
      <c r="E91" s="1">
        <f t="shared" si="26"/>
        <v>59.5</v>
      </c>
      <c r="G91" s="31">
        <f>'Price list REWE '!E88</f>
        <v>1.7249999999999999</v>
      </c>
      <c r="H91" s="31">
        <f t="shared" si="27"/>
        <v>1.46625E-2</v>
      </c>
      <c r="J91" s="42">
        <f>'Price list REWE '!H88</f>
        <v>2.75</v>
      </c>
      <c r="K91" s="42">
        <f t="shared" si="28"/>
        <v>2.3375E-2</v>
      </c>
      <c r="M91" s="31">
        <f>'Price list ALDI Süd'!E88</f>
        <v>1.7249999999999999</v>
      </c>
      <c r="N91" s="31">
        <f t="shared" si="29"/>
        <v>1.46625E-2</v>
      </c>
      <c r="P91" s="42">
        <f>'Price list ALDI Süd'!H88</f>
        <v>2.75</v>
      </c>
      <c r="Q91" s="42">
        <f t="shared" si="30"/>
        <v>2.3375E-2</v>
      </c>
    </row>
    <row r="92" spans="1:17" ht="17" x14ac:dyDescent="0.2">
      <c r="B92" s="1" t="s">
        <v>192</v>
      </c>
      <c r="D92" s="1">
        <f t="shared" si="25"/>
        <v>8.5</v>
      </c>
      <c r="E92" s="1">
        <f t="shared" si="26"/>
        <v>59.5</v>
      </c>
      <c r="G92" s="31">
        <f>'Price list REWE '!E89</f>
        <v>1.99</v>
      </c>
      <c r="H92" s="31">
        <f t="shared" si="27"/>
        <v>1.6914999999999999E-2</v>
      </c>
      <c r="J92" s="42">
        <f>'Price list REWE '!H89</f>
        <v>3.98</v>
      </c>
      <c r="K92" s="42">
        <f t="shared" si="28"/>
        <v>3.3829999999999999E-2</v>
      </c>
      <c r="M92" s="31">
        <f>'Price list ALDI Süd'!E89</f>
        <v>1.99</v>
      </c>
      <c r="N92" s="31">
        <f t="shared" si="29"/>
        <v>1.6914999999999999E-2</v>
      </c>
      <c r="P92" s="42">
        <f>'Price list ALDI Süd'!H89</f>
        <v>3.32</v>
      </c>
      <c r="Q92" s="42">
        <f t="shared" si="30"/>
        <v>2.8220000000000002E-2</v>
      </c>
    </row>
    <row r="93" spans="1:17" ht="17" x14ac:dyDescent="0.2">
      <c r="B93" s="1" t="s">
        <v>622</v>
      </c>
      <c r="D93" s="1">
        <f t="shared" si="25"/>
        <v>8.5</v>
      </c>
      <c r="E93" s="1">
        <f t="shared" si="26"/>
        <v>59.5</v>
      </c>
      <c r="G93" s="31">
        <f>'Price list REWE '!E90</f>
        <v>1.7249999999999999</v>
      </c>
      <c r="H93" s="31">
        <f t="shared" si="27"/>
        <v>1.46625E-2</v>
      </c>
      <c r="J93" s="42">
        <f>'Price list REWE '!H90</f>
        <v>3</v>
      </c>
      <c r="K93" s="42">
        <f t="shared" si="28"/>
        <v>2.5500000000000002E-2</v>
      </c>
      <c r="M93" s="31">
        <f>'Price list ALDI Süd'!E90</f>
        <v>1.7249999999999999</v>
      </c>
      <c r="N93" s="31">
        <f t="shared" si="29"/>
        <v>1.46625E-2</v>
      </c>
      <c r="P93" s="42">
        <f>'Price list ALDI Süd'!H90</f>
        <v>2.75</v>
      </c>
      <c r="Q93" s="42">
        <f t="shared" si="30"/>
        <v>2.3375E-2</v>
      </c>
    </row>
    <row r="94" spans="1:17" ht="17" x14ac:dyDescent="0.2">
      <c r="A94" s="1"/>
      <c r="B94" s="1" t="s">
        <v>623</v>
      </c>
      <c r="D94" s="1">
        <f t="shared" si="25"/>
        <v>8.5</v>
      </c>
      <c r="E94" s="1">
        <f t="shared" si="26"/>
        <v>59.5</v>
      </c>
      <c r="G94" s="31">
        <f>'Price list REWE '!E91</f>
        <v>2.0441176470588234</v>
      </c>
      <c r="H94" s="31">
        <f t="shared" si="27"/>
        <v>1.7374999999999998E-2</v>
      </c>
      <c r="J94" s="42">
        <f>'Price list REWE '!H91</f>
        <v>2.0441176470588234</v>
      </c>
      <c r="K94" s="42">
        <f t="shared" si="28"/>
        <v>1.7374999999999998E-2</v>
      </c>
      <c r="M94" s="31">
        <f>'Price list ALDI Süd'!E91</f>
        <v>3.3559322033898304</v>
      </c>
      <c r="N94" s="31">
        <f t="shared" si="29"/>
        <v>2.8525423728813559E-2</v>
      </c>
      <c r="P94" s="42">
        <f>'Price list ALDI Süd'!H91</f>
        <v>3.3559322033898304</v>
      </c>
      <c r="Q94" s="42">
        <f t="shared" si="30"/>
        <v>2.8525423728813559E-2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E96/7*C4</f>
        <v>35.4</v>
      </c>
      <c r="E96" s="4">
        <f>175+60+60</f>
        <v>295</v>
      </c>
      <c r="F96" s="4">
        <f>112*C4</f>
        <v>94.08</v>
      </c>
    </row>
    <row r="97" spans="1:17" ht="17" x14ac:dyDescent="0.2">
      <c r="B97" s="1" t="s">
        <v>201</v>
      </c>
      <c r="D97" s="1">
        <f>D96/2</f>
        <v>17.7</v>
      </c>
      <c r="E97" s="1">
        <f>D97*7</f>
        <v>123.89999999999999</v>
      </c>
      <c r="G97" s="31">
        <f>'Price list REWE '!E94</f>
        <v>5.48</v>
      </c>
      <c r="H97" s="31">
        <f>G97/1000*D97</f>
        <v>9.6995999999999999E-2</v>
      </c>
      <c r="J97" s="42">
        <f>'Price list REWE '!H94</f>
        <v>5.48</v>
      </c>
      <c r="K97" s="42">
        <f>J97/1000*D97</f>
        <v>9.6995999999999999E-2</v>
      </c>
      <c r="M97" s="31">
        <f>'Price list ALDI Süd'!E94</f>
        <v>5.48</v>
      </c>
      <c r="N97" s="31">
        <f>M97/1000*D97</f>
        <v>9.6995999999999999E-2</v>
      </c>
      <c r="P97" s="42">
        <f>'Price list ALDI Süd'!H94</f>
        <v>5.48</v>
      </c>
      <c r="Q97" s="42">
        <f>P97/1000*D97</f>
        <v>9.6995999999999999E-2</v>
      </c>
    </row>
    <row r="98" spans="1:17" ht="17" x14ac:dyDescent="0.2">
      <c r="B98" s="1" t="s">
        <v>203</v>
      </c>
      <c r="D98" s="1">
        <f>D96/2</f>
        <v>17.7</v>
      </c>
      <c r="E98" s="1">
        <f>D98*7</f>
        <v>123.89999999999999</v>
      </c>
      <c r="G98" s="31">
        <f>'Price list REWE '!E95</f>
        <v>6.26</v>
      </c>
      <c r="H98" s="31">
        <f>G98/1000*D98</f>
        <v>0.110802</v>
      </c>
      <c r="J98" s="42">
        <f>'Price list REWE '!H95</f>
        <v>6.26</v>
      </c>
      <c r="K98" s="42">
        <f>J98/1000*D98</f>
        <v>0.110802</v>
      </c>
      <c r="M98" s="31">
        <f>'Price list ALDI Süd'!E95</f>
        <v>6.26</v>
      </c>
      <c r="N98" s="31">
        <f>M98/1000*D98</f>
        <v>0.110802</v>
      </c>
      <c r="P98" s="42">
        <f>'Price list ALDI Süd'!H95</f>
        <v>6.26</v>
      </c>
      <c r="Q98" s="42">
        <f>P98/1000*D98</f>
        <v>0.110802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119.28</v>
      </c>
    </row>
    <row r="102" spans="1:17" ht="17" x14ac:dyDescent="0.2">
      <c r="B102" s="1" t="s">
        <v>207</v>
      </c>
      <c r="D102" s="1">
        <f>25*C4</f>
        <v>21</v>
      </c>
      <c r="E102" s="1">
        <f>D102*E10</f>
        <v>147</v>
      </c>
      <c r="G102" s="31">
        <f>'Price list REWE '!E99</f>
        <v>4.9800000000000004</v>
      </c>
      <c r="H102" s="31">
        <f>G102/1000*D102</f>
        <v>0.10458000000000001</v>
      </c>
      <c r="J102" s="42">
        <f>'Price list REWE '!H99</f>
        <v>4.9800000000000004</v>
      </c>
      <c r="K102" s="42">
        <f>J102/1000*D102</f>
        <v>0.10458000000000001</v>
      </c>
      <c r="M102" s="31">
        <f>'Price list ALDI Süd'!E99</f>
        <v>4.9800000000000004</v>
      </c>
      <c r="N102" s="31">
        <f>M102/1000*D102</f>
        <v>0.10458000000000001</v>
      </c>
      <c r="P102" s="42">
        <f>'Price list ALDI Süd'!H99</f>
        <v>4.9800000000000004</v>
      </c>
      <c r="Q102" s="42">
        <f>P102/1000*D102</f>
        <v>0.10458000000000001</v>
      </c>
    </row>
    <row r="103" spans="1:17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21</v>
      </c>
      <c r="E104" s="8">
        <f>D104*7</f>
        <v>147</v>
      </c>
      <c r="F104" s="8">
        <f>149*C4</f>
        <v>125.16</v>
      </c>
    </row>
    <row r="105" spans="1:17" ht="17" x14ac:dyDescent="0.2">
      <c r="B105" s="1" t="s">
        <v>210</v>
      </c>
      <c r="D105" s="7">
        <f>D104/2</f>
        <v>10.5</v>
      </c>
      <c r="E105" s="1">
        <f>D105*7</f>
        <v>73.5</v>
      </c>
      <c r="G105" s="31">
        <f>'Price list REWE '!E102</f>
        <v>11.45</v>
      </c>
      <c r="H105" s="31">
        <f>G105/1000*D105</f>
        <v>0.120225</v>
      </c>
      <c r="J105" s="42">
        <f>'Price list REWE '!H102</f>
        <v>17.95</v>
      </c>
      <c r="K105" s="42">
        <f>J105/1000*D105</f>
        <v>0.188475</v>
      </c>
      <c r="M105" s="31">
        <f>'Price list ALDI Süd'!E102</f>
        <v>11.45</v>
      </c>
      <c r="N105" s="31">
        <f>M105/1000*D105</f>
        <v>0.120225</v>
      </c>
      <c r="P105" s="42">
        <f>'Price list ALDI Süd'!H102</f>
        <v>14.75</v>
      </c>
      <c r="Q105" s="42">
        <f>P105/1000*D105</f>
        <v>0.15487499999999998</v>
      </c>
    </row>
    <row r="106" spans="1:17" ht="17" x14ac:dyDescent="0.2">
      <c r="B106" s="1" t="s">
        <v>213</v>
      </c>
      <c r="D106" s="7">
        <f>D104/2</f>
        <v>10.5</v>
      </c>
      <c r="E106" s="1">
        <f>D106*7</f>
        <v>73.5</v>
      </c>
      <c r="F106" s="7"/>
      <c r="G106" s="31">
        <f>'Price list REWE '!E103</f>
        <v>11.45</v>
      </c>
      <c r="H106" s="31">
        <f>G106/1000*D106</f>
        <v>0.120225</v>
      </c>
      <c r="J106" s="42">
        <f>'Price list REWE '!H103</f>
        <v>11.45</v>
      </c>
      <c r="K106" s="42">
        <f>J106/1000*D106</f>
        <v>0.120225</v>
      </c>
      <c r="M106" s="31">
        <f>'Price list ALDI Süd'!E103</f>
        <v>11.45</v>
      </c>
      <c r="N106" s="31">
        <f>M106/1000*D106</f>
        <v>0.120225</v>
      </c>
      <c r="P106" s="42">
        <f>'Price list ALDI Süd'!H103</f>
        <v>11.45</v>
      </c>
      <c r="Q106" s="42">
        <f>P106/1000*D106</f>
        <v>0.120225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5.7119999999999997</v>
      </c>
      <c r="E108" s="8">
        <f>D108*7</f>
        <v>39.983999999999995</v>
      </c>
      <c r="F108" s="8">
        <f>60*C4</f>
        <v>50.4</v>
      </c>
    </row>
    <row r="109" spans="1:17" ht="17" x14ac:dyDescent="0.2">
      <c r="B109" s="1" t="s">
        <v>216</v>
      </c>
      <c r="D109" s="1">
        <f>D108</f>
        <v>5.7119999999999997</v>
      </c>
      <c r="E109" s="1">
        <f>D109*7</f>
        <v>39.983999999999995</v>
      </c>
      <c r="G109" s="31">
        <f>'Price list REWE '!E106</f>
        <v>2.98</v>
      </c>
      <c r="H109" s="31">
        <f>G109/1000*D109</f>
        <v>1.702176E-2</v>
      </c>
      <c r="J109" s="42">
        <f>'Price list REWE '!H106</f>
        <v>7.16</v>
      </c>
      <c r="K109" s="42">
        <f>J109/1000*D109</f>
        <v>4.0897920000000004E-2</v>
      </c>
      <c r="M109" s="31">
        <f>'Price list ALDI Süd'!E106</f>
        <v>3.38</v>
      </c>
      <c r="N109" s="31">
        <f>M109/1000*D109</f>
        <v>1.9306559999999997E-2</v>
      </c>
      <c r="P109" s="42">
        <f>'Price list ALDI Süd'!H106</f>
        <v>7.16</v>
      </c>
      <c r="Q109" s="42">
        <f>P109/1000*D109</f>
        <v>4.0897920000000004E-2</v>
      </c>
    </row>
    <row r="110" spans="1:17" x14ac:dyDescent="0.2">
      <c r="A110" s="9">
        <v>1</v>
      </c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33.6</v>
      </c>
      <c r="E111" s="8">
        <f>D111*7</f>
        <v>235.20000000000002</v>
      </c>
      <c r="F111" s="8">
        <f>354*C4</f>
        <v>297.36</v>
      </c>
    </row>
    <row r="112" spans="1:17" ht="17" x14ac:dyDescent="0.2">
      <c r="B112" s="1" t="s">
        <v>220</v>
      </c>
      <c r="D112" s="1">
        <f>$D$111/3</f>
        <v>11.200000000000001</v>
      </c>
      <c r="E112" s="7">
        <f>D112*7</f>
        <v>78.400000000000006</v>
      </c>
      <c r="G112" s="31">
        <f>'Price list REWE '!E109</f>
        <v>3.78</v>
      </c>
      <c r="H112" s="31">
        <f>G112/1000*D112</f>
        <v>4.2336000000000006E-2</v>
      </c>
      <c r="J112" s="42">
        <f>'Price list REWE '!H109</f>
        <v>3.5</v>
      </c>
      <c r="K112" s="42">
        <f>J112/1000*D112</f>
        <v>3.9200000000000006E-2</v>
      </c>
      <c r="M112" s="31">
        <f>'Price list ALDI Süd'!E109</f>
        <v>1.851</v>
      </c>
      <c r="N112" s="31">
        <f>M112/1000*D112</f>
        <v>2.0731200000000002E-2</v>
      </c>
      <c r="P112" s="42">
        <f>'Price list ALDI Süd'!H109</f>
        <v>3.7</v>
      </c>
      <c r="Q112" s="42">
        <f>P112/1000*D112</f>
        <v>4.1440000000000005E-2</v>
      </c>
    </row>
    <row r="113" spans="1:17" ht="17" x14ac:dyDescent="0.2">
      <c r="B113" s="1" t="s">
        <v>223</v>
      </c>
      <c r="D113" s="1">
        <f>$D$111/3</f>
        <v>11.200000000000001</v>
      </c>
      <c r="E113" s="1">
        <f>D113*7</f>
        <v>78.400000000000006</v>
      </c>
      <c r="G113" s="31">
        <f>'Price list REWE '!E110</f>
        <v>8.99</v>
      </c>
      <c r="H113" s="31">
        <f>G113/1000*D113</f>
        <v>0.100688</v>
      </c>
      <c r="J113" s="42">
        <f>'Price list REWE '!H110</f>
        <v>14.58</v>
      </c>
      <c r="K113" s="42">
        <f>J113/1000*D113</f>
        <v>0.163296</v>
      </c>
      <c r="M113" s="31">
        <f>'Price list ALDI Süd'!E110</f>
        <v>7.99</v>
      </c>
      <c r="N113" s="31">
        <f>M113/1000*D113</f>
        <v>8.9488000000000012E-2</v>
      </c>
      <c r="P113" s="42">
        <f>'Price list ALDI Süd'!H110</f>
        <v>9.32</v>
      </c>
      <c r="Q113" s="42">
        <f>P113/1000*D113</f>
        <v>0.10438400000000002</v>
      </c>
    </row>
    <row r="114" spans="1:17" ht="17" x14ac:dyDescent="0.2">
      <c r="A114" s="1"/>
      <c r="B114" s="1" t="s">
        <v>226</v>
      </c>
      <c r="D114" s="1">
        <f>$D$111/3</f>
        <v>11.200000000000001</v>
      </c>
      <c r="E114" s="1">
        <f>D114*7</f>
        <v>78.400000000000006</v>
      </c>
      <c r="F114" s="7"/>
      <c r="G114" s="31">
        <f>'Price list REWE '!E111</f>
        <v>10.36</v>
      </c>
      <c r="H114" s="31">
        <f>G114/1000*D114</f>
        <v>0.11603200000000001</v>
      </c>
      <c r="J114" s="42">
        <f>'Price list REWE '!H111</f>
        <v>15.96</v>
      </c>
      <c r="K114" s="42">
        <f>J114/1000*D114</f>
        <v>0.17875200000000005</v>
      </c>
      <c r="M114" s="31">
        <f>'Price list ALDI Süd'!E111</f>
        <v>6.76</v>
      </c>
      <c r="N114" s="31">
        <f>M114/1000*D114</f>
        <v>7.5712000000000002E-2</v>
      </c>
      <c r="P114" s="42">
        <f>'Price list ALDI Süd'!H111</f>
        <v>6.76</v>
      </c>
      <c r="Q114" s="42">
        <f>P114/1000*D114</f>
        <v>7.5712000000000002E-2</v>
      </c>
    </row>
    <row r="115" spans="1:17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30.24</v>
      </c>
    </row>
    <row r="117" spans="1:17" ht="17" x14ac:dyDescent="0.2">
      <c r="B117" s="1" t="s">
        <v>230</v>
      </c>
      <c r="D117" s="7">
        <f>5*C4</f>
        <v>4.2</v>
      </c>
      <c r="E117" s="7">
        <f>D117*7</f>
        <v>29.400000000000002</v>
      </c>
      <c r="G117" s="31">
        <f>'Price list REWE '!E114</f>
        <v>5.8</v>
      </c>
      <c r="H117" s="31">
        <f>G117/1000*D117</f>
        <v>2.436E-2</v>
      </c>
      <c r="J117" s="42">
        <f>'Price list REWE '!H114</f>
        <v>11.96</v>
      </c>
      <c r="K117" s="42">
        <f>J117/1000*D117</f>
        <v>5.0232000000000006E-2</v>
      </c>
      <c r="M117" s="31">
        <f>'Price list ALDI Süd'!E114</f>
        <v>5.8</v>
      </c>
      <c r="N117" s="31">
        <f>M117/1000*D117</f>
        <v>2.436E-2</v>
      </c>
      <c r="P117" s="42">
        <f>'Price list ALDI Süd'!H114</f>
        <v>11.96</v>
      </c>
      <c r="Q117" s="42">
        <f>P117/1000*D117</f>
        <v>5.0232000000000006E-2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7" x14ac:dyDescent="0.2">
      <c r="A119" s="12" t="s">
        <v>414</v>
      </c>
      <c r="D119" s="4">
        <f>31*C4</f>
        <v>26.04</v>
      </c>
      <c r="E119" s="4">
        <f>D119*E10</f>
        <v>182.28</v>
      </c>
      <c r="F119" s="4">
        <f>120*C4</f>
        <v>100.8</v>
      </c>
    </row>
    <row r="120" spans="1:17" ht="17" x14ac:dyDescent="0.2">
      <c r="A120" s="188"/>
      <c r="B120" s="1" t="s">
        <v>234</v>
      </c>
      <c r="D120" s="1">
        <f>D119/3</f>
        <v>8.68</v>
      </c>
      <c r="E120" s="1">
        <f>D120*7</f>
        <v>60.76</v>
      </c>
      <c r="G120" s="31">
        <f>'Price list REWE '!E117</f>
        <v>1.49</v>
      </c>
      <c r="H120" s="31">
        <f>G120/1000*D120</f>
        <v>1.2933199999999999E-2</v>
      </c>
      <c r="J120" s="42">
        <f>'Price list REWE '!H117</f>
        <v>2.59</v>
      </c>
      <c r="K120" s="42">
        <f>J120/1000*D120</f>
        <v>2.2481199999999996E-2</v>
      </c>
      <c r="M120" s="31">
        <f>'Price list ALDI Süd'!E117</f>
        <v>1.49</v>
      </c>
      <c r="N120" s="31">
        <f>M120/1000*D120</f>
        <v>1.2933199999999999E-2</v>
      </c>
      <c r="P120" s="42">
        <f>'Price list ALDI Süd'!H117</f>
        <v>2.59</v>
      </c>
      <c r="Q120" s="42">
        <f>P120/1000*D120</f>
        <v>2.2481199999999996E-2</v>
      </c>
    </row>
    <row r="121" spans="1:17" ht="17" x14ac:dyDescent="0.2">
      <c r="B121" s="1" t="s">
        <v>237</v>
      </c>
      <c r="D121" s="1">
        <f>D119/3</f>
        <v>8.68</v>
      </c>
      <c r="E121" s="1">
        <f>D121*7</f>
        <v>60.76</v>
      </c>
      <c r="G121" s="31">
        <f>'Price list REWE '!E118</f>
        <v>5.9</v>
      </c>
      <c r="H121" s="31">
        <f>G121/1000*D121</f>
        <v>5.1212000000000008E-2</v>
      </c>
      <c r="J121" s="42">
        <f>'Price list REWE '!H118</f>
        <v>12.9</v>
      </c>
      <c r="K121" s="42">
        <f>J121/1000*D121</f>
        <v>0.111972</v>
      </c>
      <c r="M121" s="31">
        <f>'Price list ALDI Süd'!E118</f>
        <v>5.9</v>
      </c>
      <c r="N121" s="31">
        <f>M121/1000*D121</f>
        <v>5.1212000000000008E-2</v>
      </c>
      <c r="P121" s="42">
        <f>'Price list ALDI Süd'!H118</f>
        <v>12.9</v>
      </c>
      <c r="Q121" s="42">
        <f>P121/1000*D121</f>
        <v>0.111972</v>
      </c>
    </row>
    <row r="122" spans="1:17" ht="17" x14ac:dyDescent="0.2">
      <c r="B122" s="252" t="s">
        <v>240</v>
      </c>
      <c r="D122" s="1">
        <f>D119/3</f>
        <v>8.68</v>
      </c>
      <c r="E122" s="1">
        <f>D122*7</f>
        <v>60.76</v>
      </c>
      <c r="G122" s="31">
        <f>'Price list REWE '!E119</f>
        <v>3.66</v>
      </c>
      <c r="H122" s="31">
        <f>G122/1000*D122</f>
        <v>3.17688E-2</v>
      </c>
      <c r="J122" s="42">
        <f>'Price list REWE '!H119</f>
        <v>14.9</v>
      </c>
      <c r="K122" s="42">
        <f>J122/1000*D122</f>
        <v>0.129332</v>
      </c>
      <c r="M122" s="31">
        <f>'Price list ALDI Süd'!E119</f>
        <v>3.96</v>
      </c>
      <c r="N122" s="31">
        <f>M122/1000*D122</f>
        <v>3.4372800000000002E-2</v>
      </c>
      <c r="P122" s="42">
        <f>'Price list ALDI Süd'!H119</f>
        <v>9.4499999999999993</v>
      </c>
      <c r="Q122" s="42">
        <f>P122/1000*D122</f>
        <v>8.2026000000000002E-2</v>
      </c>
    </row>
    <row r="123" spans="1:17" x14ac:dyDescent="0.2">
      <c r="A123" s="9">
        <v>3</v>
      </c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1260</v>
      </c>
      <c r="E124" s="4">
        <f>D124*E10</f>
        <v>8820</v>
      </c>
    </row>
    <row r="125" spans="1:17" ht="17" x14ac:dyDescent="0.2">
      <c r="B125" s="1" t="s">
        <v>415</v>
      </c>
      <c r="D125" s="1">
        <f>D124-D126-D127</f>
        <v>860</v>
      </c>
      <c r="E125" s="1">
        <f>D125*7</f>
        <v>6020</v>
      </c>
      <c r="G125" s="31">
        <f>'Price list REWE '!E122</f>
        <v>0.18</v>
      </c>
      <c r="H125" s="31">
        <f>G125/1000*D125</f>
        <v>0.15479999999999999</v>
      </c>
      <c r="J125" s="42">
        <f>'Price list REWE '!H122</f>
        <v>0.18</v>
      </c>
      <c r="K125" s="42">
        <f>J125/1000*D125</f>
        <v>0.15479999999999999</v>
      </c>
      <c r="M125" s="31">
        <f>'Price list ALDI Süd'!E122</f>
        <v>0.18</v>
      </c>
      <c r="N125" s="31">
        <f>M125/1000*D125</f>
        <v>0.15479999999999999</v>
      </c>
      <c r="P125" s="42">
        <f>'Price list ALDI Süd'!H122</f>
        <v>0.18</v>
      </c>
      <c r="Q125" s="42">
        <f>P125/1000*D125</f>
        <v>0.15479999999999999</v>
      </c>
    </row>
    <row r="126" spans="1:17" ht="17" x14ac:dyDescent="0.2">
      <c r="B126" s="1" t="s">
        <v>416</v>
      </c>
      <c r="D126" s="1">
        <v>200</v>
      </c>
      <c r="E126" s="1">
        <f>D126*7</f>
        <v>1400</v>
      </c>
      <c r="G126" s="31">
        <f>'Price list REWE '!E123</f>
        <v>6.98</v>
      </c>
      <c r="H126" s="31">
        <f>G126/1000*12</f>
        <v>8.3760000000000001E-2</v>
      </c>
      <c r="J126" s="42">
        <f>'Price list REWE '!H123</f>
        <v>11.98</v>
      </c>
      <c r="K126" s="42">
        <f>J126/1000*12</f>
        <v>0.14376</v>
      </c>
      <c r="M126" s="31">
        <f>'Price list ALDI Süd'!E123</f>
        <v>7.98</v>
      </c>
      <c r="N126" s="31">
        <f>M126/1000*12</f>
        <v>9.5760000000000012E-2</v>
      </c>
      <c r="P126" s="42">
        <f>'Price list ALDI Süd'!H123</f>
        <v>11.38</v>
      </c>
      <c r="Q126" s="42">
        <f>P126/1000*12</f>
        <v>0.13656000000000001</v>
      </c>
    </row>
    <row r="127" spans="1:17" ht="17" x14ac:dyDescent="0.2">
      <c r="B127" s="1" t="s">
        <v>417</v>
      </c>
      <c r="D127" s="1">
        <v>200</v>
      </c>
      <c r="E127" s="1">
        <f>D127*7</f>
        <v>1400</v>
      </c>
      <c r="G127" s="31">
        <f>'Price list REWE '!E124</f>
        <v>12.27</v>
      </c>
      <c r="H127" s="189">
        <f>G127/1000*(56/25)</f>
        <v>2.74848E-2</v>
      </c>
      <c r="J127" s="42">
        <f>'Price list REWE '!H124</f>
        <v>67.25</v>
      </c>
      <c r="K127" s="190">
        <f>J127/1000*(40/20)</f>
        <v>0.13450000000000001</v>
      </c>
      <c r="M127" s="31">
        <f>'Price list ALDI Süd'!E124</f>
        <v>12.27</v>
      </c>
      <c r="N127" s="31">
        <f>M127/1000*(56.25/25)</f>
        <v>2.76075E-2</v>
      </c>
      <c r="P127" s="42">
        <f>'Price list ALDI Süd'!H124</f>
        <v>67.25</v>
      </c>
      <c r="Q127" s="42">
        <f>P127/1000*(40/20)</f>
        <v>0.13450000000000001</v>
      </c>
    </row>
    <row r="128" spans="1:17" ht="17" x14ac:dyDescent="0.2">
      <c r="B128" s="1" t="s">
        <v>439</v>
      </c>
      <c r="D128" s="1">
        <f>E128/7</f>
        <v>47.142857142857146</v>
      </c>
      <c r="E128" s="1">
        <v>330</v>
      </c>
      <c r="G128" s="31">
        <f>'Price list REWE '!E125</f>
        <v>0.9</v>
      </c>
      <c r="H128" s="31">
        <f>G128/1000*D128</f>
        <v>4.2428571428571434E-2</v>
      </c>
      <c r="J128" s="42">
        <f>'Price list REWE '!H125</f>
        <v>2</v>
      </c>
      <c r="K128" s="42">
        <f>J128/1000*D128</f>
        <v>9.4285714285714292E-2</v>
      </c>
      <c r="M128" s="31">
        <f>'Price list ALDI Süd'!E125</f>
        <v>0.9</v>
      </c>
      <c r="N128" s="31">
        <f>M128/1000*D128</f>
        <v>4.2428571428571434E-2</v>
      </c>
      <c r="P128" s="42">
        <f>'Price list ALDI Süd'!H125</f>
        <v>2</v>
      </c>
      <c r="Q128" s="42">
        <f>P128/1000*D128</f>
        <v>9.4285714285714292E-2</v>
      </c>
    </row>
    <row r="129" spans="1:19" ht="17" x14ac:dyDescent="0.2">
      <c r="B129" s="1" t="s">
        <v>440</v>
      </c>
      <c r="D129" s="1">
        <f>E129/7</f>
        <v>35.714285714285715</v>
      </c>
      <c r="E129" s="1">
        <v>250</v>
      </c>
      <c r="G129" s="31">
        <f>'Price list REWE '!E126</f>
        <v>2.65</v>
      </c>
      <c r="H129" s="31">
        <f>G129/1000*D129</f>
        <v>9.464285714285714E-2</v>
      </c>
      <c r="J129" s="42">
        <f>'Price list REWE '!H126</f>
        <v>5.32</v>
      </c>
      <c r="K129" s="42">
        <f>J129/1000*D129</f>
        <v>0.19</v>
      </c>
      <c r="M129" s="31">
        <f>'Price list ALDI Süd'!E126</f>
        <v>2.92</v>
      </c>
      <c r="N129" s="31">
        <f>M129/1000*D129</f>
        <v>0.10428571428571429</v>
      </c>
      <c r="P129" s="42">
        <f>'Price list ALDI Süd'!H126</f>
        <v>3.45</v>
      </c>
      <c r="Q129" s="42">
        <f>P129/1000*D129</f>
        <v>0.12321428571428573</v>
      </c>
    </row>
    <row r="130" spans="1:19" x14ac:dyDescent="0.2">
      <c r="A130" s="9">
        <v>5</v>
      </c>
    </row>
    <row r="132" spans="1:19" s="4" customFormat="1" ht="17" x14ac:dyDescent="0.2">
      <c r="A132" s="185" t="s">
        <v>431</v>
      </c>
      <c r="F132" s="12" t="s">
        <v>423</v>
      </c>
      <c r="G132" s="91"/>
      <c r="H132" s="185" t="s">
        <v>432</v>
      </c>
      <c r="I132" s="81"/>
      <c r="J132" s="81"/>
      <c r="K132" s="185" t="s">
        <v>432</v>
      </c>
      <c r="L132" s="220"/>
      <c r="M132" s="220"/>
      <c r="N132" s="185" t="s">
        <v>432</v>
      </c>
      <c r="O132" s="220"/>
      <c r="P132" s="220"/>
      <c r="Q132" s="185" t="s">
        <v>432</v>
      </c>
      <c r="R132" s="255"/>
      <c r="S132" s="92"/>
    </row>
    <row r="133" spans="1:19" ht="17" x14ac:dyDescent="0.2">
      <c r="A133" s="273">
        <f>A130+A123+A118+A115+A107+A103+A99+A95+A87+A82+A79+A76+A73+A70+A59+A47+A40+A20+A17+A32+A110</f>
        <v>75</v>
      </c>
      <c r="D133" s="9"/>
      <c r="E133" s="9"/>
      <c r="F133" s="1">
        <f>F119+F116+F111+F108+F104+F101+F96+F88+F83+F80+F77+F74+F71+F60+F48+F41+F33+F23+F18+F11</f>
        <v>2102.5199999999995</v>
      </c>
      <c r="H133" s="1" t="s">
        <v>433</v>
      </c>
      <c r="K133" s="1" t="s">
        <v>433</v>
      </c>
      <c r="N133" s="1" t="s">
        <v>433</v>
      </c>
      <c r="Q133" s="1" t="s">
        <v>433</v>
      </c>
    </row>
    <row r="134" spans="1:19" x14ac:dyDescent="0.2">
      <c r="H134" s="1">
        <f>SUM(H12:H129)</f>
        <v>3.7524087647266304</v>
      </c>
      <c r="K134" s="1">
        <f>SUM(K12:K129)</f>
        <v>5.687673180793074</v>
      </c>
      <c r="N134" s="1">
        <f>SUM(N12:N129)</f>
        <v>3.6799140435602782</v>
      </c>
      <c r="Q134" s="1">
        <f>SUM(Q12:Q129)</f>
        <v>5.0854300355635411</v>
      </c>
    </row>
    <row r="135" spans="1:19" x14ac:dyDescent="0.2"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9" ht="17" x14ac:dyDescent="0.2">
      <c r="H136" s="9" t="s">
        <v>434</v>
      </c>
      <c r="I136" s="9"/>
      <c r="J136" s="9"/>
      <c r="K136" s="9" t="s">
        <v>434</v>
      </c>
      <c r="L136" s="9"/>
      <c r="M136" s="9"/>
      <c r="N136" s="9" t="s">
        <v>434</v>
      </c>
      <c r="O136" s="9"/>
      <c r="P136" s="9"/>
      <c r="Q136" s="9" t="s">
        <v>434</v>
      </c>
    </row>
    <row r="137" spans="1:19" x14ac:dyDescent="0.2">
      <c r="H137" s="9">
        <f>H134*30</f>
        <v>112.57226294179891</v>
      </c>
      <c r="I137" s="9"/>
      <c r="J137" s="9"/>
      <c r="K137" s="9">
        <f>K134*30</f>
        <v>170.63019542379223</v>
      </c>
      <c r="L137" s="9"/>
      <c r="M137" s="9"/>
      <c r="N137" s="9">
        <f>N134*30</f>
        <v>110.39742130680834</v>
      </c>
      <c r="O137" s="9"/>
      <c r="P137" s="9"/>
      <c r="Q137" s="9">
        <f>Q134*30</f>
        <v>152.56290106690622</v>
      </c>
    </row>
  </sheetData>
  <mergeCells count="9">
    <mergeCell ref="A2:Q2"/>
    <mergeCell ref="G5:K6"/>
    <mergeCell ref="M5:Q6"/>
    <mergeCell ref="A1:Q1"/>
    <mergeCell ref="G7:H8"/>
    <mergeCell ref="J7:K8"/>
    <mergeCell ref="M7:N8"/>
    <mergeCell ref="P7:Q8"/>
    <mergeCell ref="A4:B4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B9AC-775E-5949-BCB7-DAB0F89963CF}">
  <sheetPr codeName="Tabelle27">
    <tabColor theme="5" tint="0.79998168889431442"/>
    <pageSetUpPr fitToPage="1"/>
  </sheetPr>
  <dimension ref="A1:X138"/>
  <sheetViews>
    <sheetView zoomScale="85" zoomScaleNormal="80" workbookViewId="0">
      <pane ySplit="9" topLeftCell="A113" activePane="bottomLeft" state="frozen"/>
      <selection pane="bottomLeft" activeCell="G128" sqref="G128"/>
    </sheetView>
  </sheetViews>
  <sheetFormatPr baseColWidth="10" defaultColWidth="10.83203125" defaultRowHeight="16" x14ac:dyDescent="0.2"/>
  <cols>
    <col min="1" max="1" width="25.6640625" style="9" customWidth="1"/>
    <col min="2" max="2" width="30.33203125" style="1" customWidth="1"/>
    <col min="3" max="3" width="11.5" style="1" customWidth="1"/>
    <col min="4" max="4" width="19.33203125" style="1" customWidth="1"/>
    <col min="5" max="5" width="22.33203125" style="1" customWidth="1"/>
    <col min="6" max="6" width="15.1640625" style="1" customWidth="1"/>
    <col min="7" max="8" width="16" style="1" customWidth="1"/>
    <col min="9" max="10" width="15.5" style="1" customWidth="1"/>
    <col min="11" max="11" width="16.6640625" style="1" customWidth="1"/>
    <col min="12" max="12" width="15.6640625" style="1" customWidth="1"/>
    <col min="13" max="13" width="15.33203125" style="1" customWidth="1"/>
    <col min="14" max="14" width="15.1640625" style="1" customWidth="1"/>
    <col min="15" max="15" width="10.83203125" style="1"/>
    <col min="16" max="16" width="14.33203125" style="1" customWidth="1"/>
    <col min="17" max="17" width="16" style="1" customWidth="1"/>
    <col min="18" max="16384" width="10.83203125" style="1"/>
  </cols>
  <sheetData>
    <row r="1" spans="1:24" ht="21" customHeight="1" x14ac:dyDescent="0.2">
      <c r="A1" s="420" t="s">
        <v>633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24" ht="24" customHeight="1" x14ac:dyDescent="0.2">
      <c r="A2" s="420" t="s">
        <v>441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24" x14ac:dyDescent="0.2">
      <c r="A3" s="125"/>
      <c r="B3" s="126"/>
      <c r="C3" s="126"/>
      <c r="D3" s="126"/>
      <c r="E3" s="126"/>
      <c r="F3" s="13"/>
    </row>
    <row r="4" spans="1:24" x14ac:dyDescent="0.2">
      <c r="A4" s="430" t="s">
        <v>426</v>
      </c>
      <c r="B4" s="431"/>
      <c r="C4" s="9">
        <f>2700/2500</f>
        <v>1.08</v>
      </c>
      <c r="D4" s="114"/>
      <c r="E4" s="90"/>
      <c r="F4" s="13"/>
    </row>
    <row r="5" spans="1:24" x14ac:dyDescent="0.2">
      <c r="B5" s="9"/>
      <c r="C5" s="9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24" x14ac:dyDescent="0.2">
      <c r="B6" s="9"/>
      <c r="C6" s="9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24" ht="16" customHeight="1" x14ac:dyDescent="0.2">
      <c r="B7" s="9"/>
      <c r="C7" s="9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24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24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468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  <c r="R9" s="9"/>
      <c r="S9" s="9"/>
      <c r="T9" s="9"/>
      <c r="U9" s="9"/>
      <c r="V9" s="9"/>
      <c r="W9" s="9"/>
      <c r="X9" s="9"/>
    </row>
    <row r="10" spans="1:24" s="9" customFormat="1" x14ac:dyDescent="0.2">
      <c r="E10" s="9">
        <v>7</v>
      </c>
    </row>
    <row r="11" spans="1:24" s="4" customFormat="1" ht="18" customHeight="1" x14ac:dyDescent="0.2">
      <c r="A11" s="12" t="s">
        <v>390</v>
      </c>
      <c r="B11" s="12" t="s">
        <v>23</v>
      </c>
      <c r="D11" s="4">
        <f>232*C4</f>
        <v>250.56</v>
      </c>
      <c r="E11" s="4">
        <f>D11*$E$10</f>
        <v>1753.92</v>
      </c>
      <c r="F11" s="4">
        <f>811*C4</f>
        <v>875.88000000000011</v>
      </c>
      <c r="R11" s="1"/>
      <c r="S11" s="1"/>
      <c r="T11" s="1"/>
      <c r="U11" s="1"/>
      <c r="V11" s="1"/>
      <c r="W11" s="1"/>
      <c r="X11" s="1"/>
    </row>
    <row r="12" spans="1:24" ht="19" customHeight="1" x14ac:dyDescent="0.2">
      <c r="B12" s="1" t="s">
        <v>24</v>
      </c>
      <c r="D12" s="1">
        <f>30*C4</f>
        <v>32.400000000000006</v>
      </c>
      <c r="E12" s="1">
        <f t="shared" ref="E12:E16" si="0">D12*$E$10</f>
        <v>226.80000000000004</v>
      </c>
      <c r="G12" s="31">
        <f>'Price list REWE '!E9</f>
        <v>2.89</v>
      </c>
      <c r="H12" s="31">
        <f>G12/1000*D12</f>
        <v>9.3636000000000025E-2</v>
      </c>
      <c r="J12" s="42">
        <f>'Price list REWE '!H9</f>
        <v>2.89</v>
      </c>
      <c r="K12" s="42">
        <f>J12/1000*D12</f>
        <v>9.3636000000000025E-2</v>
      </c>
      <c r="M12" s="31">
        <f>'Price list ALDI Süd'!E9</f>
        <v>2.89</v>
      </c>
      <c r="N12" s="31">
        <f>M12/1000*D12</f>
        <v>9.3636000000000025E-2</v>
      </c>
      <c r="P12" s="42">
        <f>'Price list ALDI Süd'!H9</f>
        <v>2.89</v>
      </c>
      <c r="Q12" s="42">
        <f>P12/1000*D12</f>
        <v>9.3636000000000025E-2</v>
      </c>
    </row>
    <row r="13" spans="1:24" ht="17" x14ac:dyDescent="0.2">
      <c r="B13" s="1" t="s">
        <v>27</v>
      </c>
      <c r="D13" s="1">
        <f>50*C4</f>
        <v>54</v>
      </c>
      <c r="E13" s="1">
        <f t="shared" si="0"/>
        <v>378</v>
      </c>
      <c r="G13" s="31">
        <f>'Price list REWE '!E10</f>
        <v>1.58</v>
      </c>
      <c r="H13" s="31">
        <f>G13/1000*D13</f>
        <v>8.5320000000000007E-2</v>
      </c>
      <c r="J13" s="42">
        <f>'Price list REWE '!H10</f>
        <v>4.38</v>
      </c>
      <c r="K13" s="42">
        <f>J13/1000*D13</f>
        <v>0.23652000000000001</v>
      </c>
      <c r="M13" s="31">
        <f>'Price list ALDI Süd'!E10</f>
        <v>3.48</v>
      </c>
      <c r="N13" s="31">
        <f>M13/1000*D13</f>
        <v>0.18792</v>
      </c>
      <c r="P13" s="42">
        <f>'Price list ALDI Süd'!H10</f>
        <v>4.38</v>
      </c>
      <c r="Q13" s="42">
        <f>P13/1000*D13</f>
        <v>0.23652000000000001</v>
      </c>
    </row>
    <row r="14" spans="1:24" ht="17" x14ac:dyDescent="0.2">
      <c r="B14" s="1" t="s">
        <v>30</v>
      </c>
      <c r="D14" s="1">
        <f>50*C4</f>
        <v>54</v>
      </c>
      <c r="E14" s="1">
        <f t="shared" si="0"/>
        <v>378</v>
      </c>
      <c r="G14" s="31">
        <f>'Price list REWE '!E11</f>
        <v>2.13</v>
      </c>
      <c r="H14" s="31">
        <f>G14/1000*D14</f>
        <v>0.11502</v>
      </c>
      <c r="J14" s="42">
        <f>'Price list REWE '!H11</f>
        <v>4.25</v>
      </c>
      <c r="K14" s="42">
        <f>J14/1000*D14</f>
        <v>0.22950000000000001</v>
      </c>
      <c r="M14" s="31">
        <f>'Price list ALDI Süd'!E11</f>
        <v>2.84</v>
      </c>
      <c r="N14" s="31">
        <f>M14/1000*D14</f>
        <v>0.15335999999999997</v>
      </c>
      <c r="P14" s="42">
        <f>'Price list ALDI Süd'!H11</f>
        <v>5.25</v>
      </c>
      <c r="Q14" s="42">
        <f>P14/1000*D14</f>
        <v>0.28350000000000003</v>
      </c>
    </row>
    <row r="15" spans="1:24" ht="17" x14ac:dyDescent="0.2">
      <c r="B15" s="1" t="s">
        <v>33</v>
      </c>
      <c r="D15" s="1">
        <f>40*C4</f>
        <v>43.2</v>
      </c>
      <c r="E15" s="1">
        <f>D15*$E$10</f>
        <v>302.40000000000003</v>
      </c>
      <c r="G15" s="31">
        <f>'Price list REWE '!E12</f>
        <v>1.58</v>
      </c>
      <c r="H15" s="31">
        <f>G15/1000*D15</f>
        <v>6.8256000000000011E-2</v>
      </c>
      <c r="J15" s="42">
        <f>'Price list REWE '!H12</f>
        <v>1.98</v>
      </c>
      <c r="K15" s="42">
        <f>J15/1000*D15</f>
        <v>8.5536000000000001E-2</v>
      </c>
      <c r="M15" s="31">
        <f>'Price list ALDI Süd'!E12</f>
        <v>1.58</v>
      </c>
      <c r="N15" s="31">
        <f>M15/1000*D15</f>
        <v>6.8256000000000011E-2</v>
      </c>
      <c r="P15" s="42">
        <f>'Price list ALDI Süd'!H12</f>
        <v>1.9</v>
      </c>
      <c r="Q15" s="42">
        <f>P15/1000*D15</f>
        <v>8.208E-2</v>
      </c>
    </row>
    <row r="16" spans="1:24" ht="17" x14ac:dyDescent="0.2">
      <c r="B16" s="1" t="s">
        <v>36</v>
      </c>
      <c r="D16" s="1">
        <f>62*C4</f>
        <v>66.960000000000008</v>
      </c>
      <c r="E16" s="1">
        <f t="shared" si="0"/>
        <v>468.72</v>
      </c>
      <c r="G16" s="31">
        <f>'Price list REWE '!E13</f>
        <v>3.58</v>
      </c>
      <c r="H16" s="31">
        <f>G16/1000*D16</f>
        <v>0.23971680000000004</v>
      </c>
      <c r="J16" s="42">
        <f>'Price list REWE '!H13</f>
        <v>2.98</v>
      </c>
      <c r="K16" s="42">
        <f>J16/1000*D16</f>
        <v>0.19954080000000002</v>
      </c>
      <c r="M16" s="31">
        <f>'Price list ALDI Süd'!E13</f>
        <v>2.98</v>
      </c>
      <c r="N16" s="31">
        <f>M16/1000*D16</f>
        <v>0.19954080000000002</v>
      </c>
      <c r="P16" s="42">
        <f>'Price list ALDI Süd'!H13</f>
        <v>2.98</v>
      </c>
      <c r="Q16" s="42">
        <f>P16/1000*D16</f>
        <v>0.19954080000000002</v>
      </c>
    </row>
    <row r="17" spans="1:24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24" s="4" customFormat="1" ht="17" customHeight="1" x14ac:dyDescent="0.2">
      <c r="A18" s="12" t="s">
        <v>39</v>
      </c>
      <c r="B18" s="12" t="s">
        <v>40</v>
      </c>
      <c r="D18" s="4">
        <f>50*C4</f>
        <v>54</v>
      </c>
      <c r="E18" s="4">
        <f>D18*$E$10</f>
        <v>378</v>
      </c>
      <c r="F18" s="4">
        <f>39*C4</f>
        <v>42.120000000000005</v>
      </c>
      <c r="G18" s="12"/>
      <c r="J18" s="12"/>
      <c r="R18" s="1"/>
      <c r="S18" s="1"/>
      <c r="T18" s="1"/>
      <c r="U18" s="1"/>
      <c r="V18" s="1"/>
      <c r="W18" s="1"/>
      <c r="X18" s="1"/>
    </row>
    <row r="19" spans="1:24" ht="17" x14ac:dyDescent="0.2">
      <c r="B19" s="1" t="s">
        <v>41</v>
      </c>
      <c r="D19" s="1">
        <f>50*C4</f>
        <v>54</v>
      </c>
      <c r="E19" s="1">
        <f>D19*E10</f>
        <v>378</v>
      </c>
      <c r="G19" s="31">
        <f>'Price list REWE '!E16</f>
        <v>0.92</v>
      </c>
      <c r="H19" s="31">
        <f>G19/1000*D19</f>
        <v>4.9680000000000002E-2</v>
      </c>
      <c r="J19" s="42">
        <f>'Price list REWE '!H16</f>
        <v>1.53</v>
      </c>
      <c r="K19" s="42">
        <f>J19/1000*D19</f>
        <v>8.2619999999999999E-2</v>
      </c>
      <c r="M19" s="31">
        <f>'Price list ALDI Süd'!E16</f>
        <v>0.96</v>
      </c>
      <c r="N19" s="31">
        <f>M19/1000*D19</f>
        <v>5.1839999999999997E-2</v>
      </c>
      <c r="P19" s="42">
        <f>'Price list ALDI Süd'!H16</f>
        <v>1.46</v>
      </c>
      <c r="Q19" s="42">
        <f>P19/1000*D19</f>
        <v>7.8839999999999993E-2</v>
      </c>
    </row>
    <row r="20" spans="1:24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24" s="4" customFormat="1" ht="17" x14ac:dyDescent="0.2">
      <c r="A21" s="12" t="s">
        <v>391</v>
      </c>
      <c r="D21" s="4">
        <f>300*C4</f>
        <v>324</v>
      </c>
      <c r="E21" s="4">
        <f>D21*$E$10</f>
        <v>2268</v>
      </c>
      <c r="R21" s="1"/>
      <c r="S21" s="1"/>
      <c r="T21" s="1"/>
      <c r="U21" s="1"/>
      <c r="V21" s="1"/>
      <c r="W21" s="1"/>
      <c r="X21" s="1"/>
    </row>
    <row r="22" spans="1:24" x14ac:dyDescent="0.2">
      <c r="C22" s="6"/>
      <c r="G22" s="31"/>
      <c r="H22" s="31"/>
      <c r="J22" s="42"/>
      <c r="K22" s="42"/>
      <c r="M22" s="31"/>
      <c r="N22" s="31"/>
      <c r="P22" s="42"/>
      <c r="Q22" s="42"/>
    </row>
    <row r="23" spans="1:24" s="4" customFormat="1" ht="17" x14ac:dyDescent="0.2">
      <c r="A23" s="12"/>
      <c r="B23" s="12" t="s">
        <v>45</v>
      </c>
      <c r="D23" s="4">
        <f>100*C4</f>
        <v>108</v>
      </c>
      <c r="E23" s="4">
        <f>D23*7</f>
        <v>756</v>
      </c>
      <c r="F23" s="4">
        <f>23*C4</f>
        <v>24.840000000000003</v>
      </c>
      <c r="G23" s="12"/>
      <c r="J23" s="12"/>
      <c r="R23" s="1"/>
      <c r="S23" s="1"/>
      <c r="T23" s="1"/>
      <c r="U23" s="1"/>
      <c r="V23" s="1"/>
      <c r="W23" s="1"/>
      <c r="X23" s="1"/>
    </row>
    <row r="24" spans="1:24" ht="17" x14ac:dyDescent="0.2">
      <c r="B24" s="16" t="s">
        <v>392</v>
      </c>
      <c r="C24" s="340">
        <v>8.1854823894030398E-2</v>
      </c>
      <c r="D24" s="6">
        <f>C24*$D$23</f>
        <v>8.8403209805552834</v>
      </c>
      <c r="E24" s="1">
        <f>D24*7</f>
        <v>61.882246863886984</v>
      </c>
      <c r="G24" s="33">
        <f>'Price list REWE '!E21</f>
        <v>3.0944625407166124</v>
      </c>
      <c r="H24" s="31">
        <f t="shared" ref="H24:H31" si="1">G24/1000*D24</f>
        <v>2.735604212223948E-2</v>
      </c>
      <c r="J24" s="45">
        <f>'Price list REWE '!H21</f>
        <v>3.0944625407166124</v>
      </c>
      <c r="K24" s="42">
        <f t="shared" ref="K24:K31" si="2">J24/1000*D24</f>
        <v>2.735604212223948E-2</v>
      </c>
      <c r="M24" s="31">
        <f>'Price list ALDI Süd'!E21</f>
        <v>2.2475570032573291</v>
      </c>
      <c r="N24" s="31">
        <f t="shared" ref="N24:N31" si="3">M24/1000*D24</f>
        <v>1.9869125330889727E-2</v>
      </c>
      <c r="P24" s="42">
        <f>'Price list ALDI Süd'!H21</f>
        <v>2.2475570032573291</v>
      </c>
      <c r="Q24" s="42">
        <f t="shared" ref="Q24:Q31" si="4">P24/1000*D24</f>
        <v>1.9869125330889727E-2</v>
      </c>
    </row>
    <row r="25" spans="1:24" ht="17" x14ac:dyDescent="0.2">
      <c r="B25" s="16" t="s">
        <v>393</v>
      </c>
      <c r="C25" s="340">
        <v>4.183137662165242E-2</v>
      </c>
      <c r="D25" s="6">
        <f t="shared" ref="D25:D31" si="5">C25*$D$23</f>
        <v>4.5177886751384611</v>
      </c>
      <c r="E25" s="1">
        <f t="shared" ref="E25:E31" si="6">D25*7</f>
        <v>31.624520725969226</v>
      </c>
      <c r="G25" s="33">
        <f>'Price list REWE '!E22</f>
        <v>2.875</v>
      </c>
      <c r="H25" s="31">
        <f t="shared" si="1"/>
        <v>1.2988642441023076E-2</v>
      </c>
      <c r="J25" s="45">
        <f>'Price list REWE '!H22</f>
        <v>5.98</v>
      </c>
      <c r="K25" s="42">
        <f t="shared" si="2"/>
        <v>2.7016376277327999E-2</v>
      </c>
      <c r="M25" s="31">
        <f>'Price list ALDI Süd'!E22</f>
        <v>2.875</v>
      </c>
      <c r="N25" s="31">
        <f t="shared" si="3"/>
        <v>1.2988642441023076E-2</v>
      </c>
      <c r="P25" s="42">
        <f>'Price list ALDI Süd'!H22</f>
        <v>11.96</v>
      </c>
      <c r="Q25" s="42">
        <f t="shared" si="4"/>
        <v>5.4032752554655998E-2</v>
      </c>
    </row>
    <row r="26" spans="1:24" ht="17" x14ac:dyDescent="0.2">
      <c r="B26" s="16" t="s">
        <v>51</v>
      </c>
      <c r="C26" s="340">
        <v>5.5140886754685689E-2</v>
      </c>
      <c r="D26" s="6">
        <f t="shared" si="5"/>
        <v>5.9552157695060544</v>
      </c>
      <c r="E26" s="1">
        <f t="shared" si="6"/>
        <v>41.686510386542381</v>
      </c>
      <c r="G26" s="33">
        <f>'Price list REWE '!E23</f>
        <v>1.76</v>
      </c>
      <c r="H26" s="31">
        <f t="shared" si="1"/>
        <v>1.0481179754330655E-2</v>
      </c>
      <c r="J26" s="45">
        <f>'Price list REWE '!H23</f>
        <v>3.32</v>
      </c>
      <c r="K26" s="42">
        <f t="shared" si="2"/>
        <v>1.97713163547601E-2</v>
      </c>
      <c r="M26" s="31">
        <f>'Price list ALDI Süd'!E23</f>
        <v>1.99</v>
      </c>
      <c r="N26" s="31">
        <f t="shared" si="3"/>
        <v>1.1850879381317049E-2</v>
      </c>
      <c r="P26" s="42">
        <f>'Price list ALDI Süd'!H23</f>
        <v>3.32</v>
      </c>
      <c r="Q26" s="42">
        <f t="shared" si="4"/>
        <v>1.97713163547601E-2</v>
      </c>
    </row>
    <row r="27" spans="1:24" ht="17" x14ac:dyDescent="0.2">
      <c r="B27" s="16" t="s">
        <v>394</v>
      </c>
      <c r="C27" s="340">
        <v>7.8411761271535096E-2</v>
      </c>
      <c r="D27" s="6">
        <f t="shared" si="5"/>
        <v>8.4684702173257911</v>
      </c>
      <c r="E27" s="1">
        <f t="shared" si="6"/>
        <v>59.279291521280541</v>
      </c>
      <c r="G27" s="33">
        <f>'Price list REWE '!E24</f>
        <v>1.8349928876244666</v>
      </c>
      <c r="H27" s="31">
        <f t="shared" si="1"/>
        <v>1.5539582617852446E-2</v>
      </c>
      <c r="J27" s="45">
        <f>'Price list REWE '!H24</f>
        <v>3.8264580369843526</v>
      </c>
      <c r="K27" s="42">
        <f t="shared" si="2"/>
        <v>3.2404245924048898E-2</v>
      </c>
      <c r="M27" s="31">
        <f>'Price list ALDI Süd'!E24</f>
        <v>1.4082503556187767</v>
      </c>
      <c r="N27" s="31">
        <f t="shared" si="3"/>
        <v>1.1925726195096064E-2</v>
      </c>
      <c r="P27" s="42">
        <f>'Price list ALDI Süd'!H24</f>
        <v>3.8264580369843526</v>
      </c>
      <c r="Q27" s="42">
        <f t="shared" si="4"/>
        <v>3.2404245924048898E-2</v>
      </c>
    </row>
    <row r="28" spans="1:24" ht="17" x14ac:dyDescent="0.2">
      <c r="B28" s="16" t="s">
        <v>395</v>
      </c>
      <c r="C28" s="340">
        <v>0.10804527200358816</v>
      </c>
      <c r="D28" s="6">
        <f t="shared" si="5"/>
        <v>11.66888937638752</v>
      </c>
      <c r="E28" s="1">
        <f t="shared" si="6"/>
        <v>81.682225634712637</v>
      </c>
      <c r="G28" s="33">
        <f>'Price list REWE '!E25</f>
        <v>6.2402088772845961</v>
      </c>
      <c r="H28" s="31">
        <f t="shared" si="1"/>
        <v>7.2816307074585321E-2</v>
      </c>
      <c r="J28" s="45">
        <f>'Price list REWE '!H25</f>
        <v>6.5013054830287214</v>
      </c>
      <c r="K28" s="42">
        <f t="shared" si="2"/>
        <v>7.5863014483563779E-2</v>
      </c>
      <c r="M28" s="31">
        <f>'Price list ALDI Süd'!E25</f>
        <v>4.125</v>
      </c>
      <c r="N28" s="31">
        <f t="shared" si="3"/>
        <v>4.8134168677598524E-2</v>
      </c>
      <c r="P28" s="42">
        <f>'Price list ALDI Süd'!H25</f>
        <v>7.041666666666667</v>
      </c>
      <c r="Q28" s="42">
        <f t="shared" si="4"/>
        <v>8.2168429358728784E-2</v>
      </c>
    </row>
    <row r="29" spans="1:24" ht="17" x14ac:dyDescent="0.2">
      <c r="B29" s="16" t="s">
        <v>396</v>
      </c>
      <c r="C29" s="340">
        <v>0.24433687491347134</v>
      </c>
      <c r="D29" s="6">
        <f t="shared" si="5"/>
        <v>26.388382490654905</v>
      </c>
      <c r="E29" s="1">
        <f t="shared" si="6"/>
        <v>184.71867743458432</v>
      </c>
      <c r="G29" s="33">
        <f>'Price list REWE '!E26</f>
        <v>1.0745614035087721</v>
      </c>
      <c r="H29" s="31">
        <f t="shared" si="1"/>
        <v>2.8355937325484443E-2</v>
      </c>
      <c r="J29" s="45">
        <f>'Price list REWE '!H26</f>
        <v>3.2675438596491229</v>
      </c>
      <c r="K29" s="42">
        <f t="shared" si="2"/>
        <v>8.6225197173411872E-2</v>
      </c>
      <c r="M29" s="31">
        <f>'Price list ALDI Süd'!E26</f>
        <v>1.0745614035087721</v>
      </c>
      <c r="N29" s="31">
        <f t="shared" si="3"/>
        <v>2.8355937325484443E-2</v>
      </c>
      <c r="P29" s="42">
        <f>'Price list ALDI Süd'!H26</f>
        <v>1.2938596491228069</v>
      </c>
      <c r="Q29" s="42">
        <f t="shared" si="4"/>
        <v>3.4142863310277181E-2</v>
      </c>
    </row>
    <row r="30" spans="1:24" ht="17" x14ac:dyDescent="0.2">
      <c r="B30" s="16" t="s">
        <v>63</v>
      </c>
      <c r="C30" s="340">
        <v>0.19518950227051848</v>
      </c>
      <c r="D30" s="6">
        <f t="shared" si="5"/>
        <v>21.080466245215995</v>
      </c>
      <c r="E30" s="1">
        <f t="shared" si="6"/>
        <v>147.56326371651195</v>
      </c>
      <c r="G30" s="33">
        <f>'Price list REWE '!E27</f>
        <v>1.79</v>
      </c>
      <c r="H30" s="31">
        <f t="shared" si="1"/>
        <v>3.7734034578936634E-2</v>
      </c>
      <c r="J30" s="45">
        <f>'Price list REWE '!H27</f>
        <v>3.58</v>
      </c>
      <c r="K30" s="42">
        <f t="shared" si="2"/>
        <v>7.5468069157873269E-2</v>
      </c>
      <c r="M30" s="31">
        <f>'Price list ALDI Süd'!E27</f>
        <v>1.49</v>
      </c>
      <c r="N30" s="31">
        <f t="shared" si="3"/>
        <v>3.1409894705371831E-2</v>
      </c>
      <c r="P30" s="42">
        <f>'Price list ALDI Süd'!H27</f>
        <v>1.78</v>
      </c>
      <c r="Q30" s="42">
        <f t="shared" si="4"/>
        <v>3.752322991648447E-2</v>
      </c>
    </row>
    <row r="31" spans="1:24" ht="17" x14ac:dyDescent="0.2">
      <c r="B31" s="16" t="s">
        <v>66</v>
      </c>
      <c r="C31" s="340">
        <v>0.19518950227051848</v>
      </c>
      <c r="D31" s="6">
        <f t="shared" si="5"/>
        <v>21.080466245215995</v>
      </c>
      <c r="E31" s="1">
        <f t="shared" si="6"/>
        <v>147.56326371651195</v>
      </c>
      <c r="G31" s="33">
        <f>'Price list REWE '!E28</f>
        <v>1.99</v>
      </c>
      <c r="H31" s="31">
        <f t="shared" si="1"/>
        <v>4.1950127827979827E-2</v>
      </c>
      <c r="J31" s="45">
        <f>'Price list REWE '!H28</f>
        <v>5.3</v>
      </c>
      <c r="K31" s="42">
        <f t="shared" si="2"/>
        <v>0.11172647109964477</v>
      </c>
      <c r="M31" s="31">
        <f>'Price list ALDI Süd'!E28</f>
        <v>1.99</v>
      </c>
      <c r="N31" s="31">
        <f t="shared" si="3"/>
        <v>4.1950127827979827E-2</v>
      </c>
      <c r="P31" s="42">
        <f>'Price list ALDI Süd'!H28</f>
        <v>5.3</v>
      </c>
      <c r="Q31" s="42">
        <f t="shared" si="4"/>
        <v>0.11172647109964477</v>
      </c>
    </row>
    <row r="32" spans="1:24" x14ac:dyDescent="0.2">
      <c r="A32" s="9">
        <v>8</v>
      </c>
      <c r="B32" s="16"/>
      <c r="C32" s="340"/>
      <c r="G32" s="33"/>
      <c r="H32" s="31"/>
      <c r="J32" s="45"/>
      <c r="K32" s="42"/>
      <c r="M32" s="31"/>
      <c r="N32" s="31"/>
      <c r="P32" s="42"/>
      <c r="Q32" s="42"/>
    </row>
    <row r="33" spans="1:24" s="4" customFormat="1" ht="17" x14ac:dyDescent="0.2">
      <c r="A33" s="12"/>
      <c r="B33" s="12" t="s">
        <v>69</v>
      </c>
      <c r="C33" s="341"/>
      <c r="D33" s="4">
        <f>100*C4</f>
        <v>108</v>
      </c>
      <c r="F33" s="4">
        <f>30*C4</f>
        <v>32.400000000000006</v>
      </c>
      <c r="G33" s="12"/>
      <c r="J33" s="12"/>
      <c r="R33" s="1"/>
      <c r="S33" s="1"/>
      <c r="T33" s="1"/>
      <c r="U33" s="1"/>
      <c r="V33" s="1"/>
      <c r="W33" s="1"/>
      <c r="X33" s="1"/>
    </row>
    <row r="34" spans="1:24" ht="17" x14ac:dyDescent="0.2">
      <c r="B34" s="23" t="s">
        <v>70</v>
      </c>
      <c r="C34" s="340">
        <v>0.21012979994107583</v>
      </c>
      <c r="D34" s="6">
        <f>C34*D33</f>
        <v>22.694018393636192</v>
      </c>
      <c r="E34" s="1">
        <f t="shared" ref="E34:E39" si="7">D34*7</f>
        <v>158.85812875545335</v>
      </c>
      <c r="G34" s="33">
        <f>'Price list REWE '!E31</f>
        <v>1.75</v>
      </c>
      <c r="H34" s="31">
        <f t="shared" ref="H34:H39" si="8">G34/1000*D34</f>
        <v>3.9714532188863338E-2</v>
      </c>
      <c r="J34" s="45">
        <f>'Price list REWE '!H31</f>
        <v>2.79</v>
      </c>
      <c r="K34" s="42">
        <f t="shared" ref="K34:K39" si="9">J34/1000*D34</f>
        <v>6.3316311318244972E-2</v>
      </c>
      <c r="M34" s="31">
        <f>'Price list ALDI Süd'!E31</f>
        <v>1.5</v>
      </c>
      <c r="N34" s="31">
        <f t="shared" ref="N34:N39" si="10">M34/1000*D34</f>
        <v>3.4041027590454291E-2</v>
      </c>
      <c r="P34" s="42">
        <f>'Price list ALDI Süd'!H31</f>
        <v>2.19</v>
      </c>
      <c r="Q34" s="42">
        <f t="shared" ref="Q34:Q39" si="11">P34/1000*D34</f>
        <v>4.969990028206326E-2</v>
      </c>
    </row>
    <row r="35" spans="1:24" ht="17" x14ac:dyDescent="0.2">
      <c r="B35" s="16" t="s">
        <v>73</v>
      </c>
      <c r="C35" s="340">
        <v>0.19042830974833957</v>
      </c>
      <c r="D35" s="6">
        <f>C35*D33</f>
        <v>20.566257452820675</v>
      </c>
      <c r="E35" s="1">
        <f t="shared" si="7"/>
        <v>143.96380216974472</v>
      </c>
      <c r="G35" s="33">
        <f>'Price list REWE '!E32</f>
        <v>2.79</v>
      </c>
      <c r="H35" s="31">
        <f t="shared" si="8"/>
        <v>5.7379858293369682E-2</v>
      </c>
      <c r="J35" s="45">
        <f>'Price list REWE '!H32</f>
        <v>5.18</v>
      </c>
      <c r="K35" s="42">
        <f t="shared" si="9"/>
        <v>0.10653321360561109</v>
      </c>
      <c r="M35" s="31">
        <f>'Price list ALDI Süd'!E32</f>
        <v>1.79</v>
      </c>
      <c r="N35" s="31">
        <f t="shared" si="10"/>
        <v>3.6813600840549014E-2</v>
      </c>
      <c r="P35" s="42">
        <f>'Price list ALDI Süd'!H32</f>
        <v>4.58</v>
      </c>
      <c r="Q35" s="42">
        <f t="shared" si="11"/>
        <v>9.4193459133918689E-2</v>
      </c>
    </row>
    <row r="36" spans="1:24" ht="17" x14ac:dyDescent="0.2">
      <c r="B36" s="23" t="s">
        <v>76</v>
      </c>
      <c r="C36" s="340">
        <v>0.19042830974833957</v>
      </c>
      <c r="D36" s="6">
        <f>C36*$D$33</f>
        <v>20.566257452820675</v>
      </c>
      <c r="E36" s="1">
        <f t="shared" si="7"/>
        <v>143.96380216974472</v>
      </c>
      <c r="G36" s="33">
        <f>'Price list REWE '!E33</f>
        <v>1.7</v>
      </c>
      <c r="H36" s="31">
        <f t="shared" si="8"/>
        <v>3.4962637669795148E-2</v>
      </c>
      <c r="J36" s="45">
        <f>'Price list REWE '!H33</f>
        <v>2.27</v>
      </c>
      <c r="K36" s="42">
        <f t="shared" si="9"/>
        <v>4.6685404417902927E-2</v>
      </c>
      <c r="M36" s="31">
        <f>'Price list ALDI Süd'!E33</f>
        <v>1.7</v>
      </c>
      <c r="N36" s="31">
        <f t="shared" si="10"/>
        <v>3.4962637669795148E-2</v>
      </c>
      <c r="P36" s="42">
        <f>'Price list ALDI Süd'!H33</f>
        <v>1.98</v>
      </c>
      <c r="Q36" s="42">
        <f t="shared" si="11"/>
        <v>4.0721189756584938E-2</v>
      </c>
    </row>
    <row r="37" spans="1:24" ht="17" x14ac:dyDescent="0.2">
      <c r="B37" s="23" t="s">
        <v>79</v>
      </c>
      <c r="C37" s="340">
        <v>0.19042830974833957</v>
      </c>
      <c r="D37" s="6">
        <f t="shared" ref="D37:D39" si="12">C37*$D$33</f>
        <v>20.566257452820675</v>
      </c>
      <c r="E37" s="1">
        <f t="shared" si="7"/>
        <v>143.96380216974472</v>
      </c>
      <c r="G37" s="33">
        <f>'Price list REWE '!E34</f>
        <v>2.125</v>
      </c>
      <c r="H37" s="31">
        <f t="shared" si="8"/>
        <v>4.3703297087243936E-2</v>
      </c>
      <c r="J37" s="45">
        <f>'Price list REWE '!H34</f>
        <v>2.4750000000000001</v>
      </c>
      <c r="K37" s="42">
        <f t="shared" si="9"/>
        <v>5.0901487195731177E-2</v>
      </c>
      <c r="M37" s="31">
        <f>'Price list ALDI Süd'!E34</f>
        <v>2</v>
      </c>
      <c r="N37" s="31">
        <f t="shared" si="10"/>
        <v>4.1132514905641349E-2</v>
      </c>
      <c r="P37" s="42">
        <f>'Price list ALDI Süd'!H34</f>
        <v>2.4750000000000001</v>
      </c>
      <c r="Q37" s="42">
        <f t="shared" si="11"/>
        <v>5.0901487195731177E-2</v>
      </c>
    </row>
    <row r="38" spans="1:24" ht="17" x14ac:dyDescent="0.2">
      <c r="B38" s="16" t="s">
        <v>82</v>
      </c>
      <c r="C38" s="340">
        <v>0.10929263540695267</v>
      </c>
      <c r="D38" s="6">
        <f t="shared" si="12"/>
        <v>11.803604623950887</v>
      </c>
      <c r="E38" s="1">
        <f t="shared" si="7"/>
        <v>82.62523236765621</v>
      </c>
      <c r="G38" s="33">
        <f>'Price list REWE '!E35</f>
        <v>3.98</v>
      </c>
      <c r="H38" s="31">
        <f t="shared" si="8"/>
        <v>4.6978346403324531E-2</v>
      </c>
      <c r="J38" s="45">
        <f>'Price list REWE '!H35</f>
        <v>6.99</v>
      </c>
      <c r="K38" s="42">
        <f t="shared" si="9"/>
        <v>8.2507196321416704E-2</v>
      </c>
      <c r="M38" s="31">
        <f>'Price list ALDI Süd'!E35</f>
        <v>3.79</v>
      </c>
      <c r="N38" s="31">
        <f t="shared" si="10"/>
        <v>4.4735661524773866E-2</v>
      </c>
      <c r="P38" s="42">
        <f>'Price list ALDI Süd'!H35</f>
        <v>4.4800000000000004</v>
      </c>
      <c r="Q38" s="42">
        <f t="shared" si="11"/>
        <v>5.2880148715299981E-2</v>
      </c>
    </row>
    <row r="39" spans="1:24" ht="17" x14ac:dyDescent="0.2">
      <c r="B39" s="16" t="s">
        <v>397</v>
      </c>
      <c r="C39" s="340">
        <v>0.10929263540695267</v>
      </c>
      <c r="D39" s="6">
        <f t="shared" si="12"/>
        <v>11.803604623950887</v>
      </c>
      <c r="E39" s="1">
        <f t="shared" si="7"/>
        <v>82.62523236765621</v>
      </c>
      <c r="G39" s="76">
        <f>'Price list REWE '!E36</f>
        <v>2.9289940828402368</v>
      </c>
      <c r="H39" s="31">
        <f t="shared" si="8"/>
        <v>3.4572688099737806E-2</v>
      </c>
      <c r="J39" s="46">
        <f>'Price list REWE '!H36</f>
        <v>3.8165680473372783</v>
      </c>
      <c r="K39" s="42">
        <f t="shared" si="9"/>
        <v>4.5049260251173506E-2</v>
      </c>
      <c r="M39" s="31">
        <f>'Price list ALDI Süd'!E36</f>
        <v>2.3372781065088759</v>
      </c>
      <c r="N39" s="31">
        <f t="shared" si="10"/>
        <v>2.7588306665447343E-2</v>
      </c>
      <c r="P39" s="42">
        <f>'Price list ALDI Süd'!H36</f>
        <v>3.8165680473372783</v>
      </c>
      <c r="Q39" s="42">
        <f t="shared" si="11"/>
        <v>4.5049260251173506E-2</v>
      </c>
    </row>
    <row r="40" spans="1:24" x14ac:dyDescent="0.2">
      <c r="A40" s="9">
        <v>6</v>
      </c>
      <c r="C40" s="340"/>
      <c r="D40" s="6"/>
      <c r="G40" s="35"/>
      <c r="H40" s="31"/>
      <c r="J40" s="46"/>
      <c r="K40" s="42"/>
      <c r="M40" s="31"/>
      <c r="N40" s="31"/>
      <c r="P40" s="42"/>
      <c r="Q40" s="42"/>
    </row>
    <row r="41" spans="1:24" s="4" customFormat="1" ht="17" x14ac:dyDescent="0.2">
      <c r="A41" s="12"/>
      <c r="B41" s="186" t="s">
        <v>88</v>
      </c>
      <c r="C41" s="341"/>
      <c r="D41" s="29">
        <f>100*C4</f>
        <v>108</v>
      </c>
      <c r="F41" s="4">
        <f>25*C4</f>
        <v>27</v>
      </c>
      <c r="G41" s="12"/>
      <c r="J41" s="12"/>
      <c r="R41" s="1"/>
      <c r="S41" s="1"/>
      <c r="T41" s="1"/>
      <c r="U41" s="1"/>
      <c r="V41" s="1"/>
      <c r="W41" s="1"/>
      <c r="X41" s="1"/>
    </row>
    <row r="42" spans="1:24" ht="17" x14ac:dyDescent="0.2">
      <c r="B42" s="16" t="s">
        <v>89</v>
      </c>
      <c r="C42" s="340">
        <v>0.24393305975418372</v>
      </c>
      <c r="D42" s="1">
        <f>C42*$D$41</f>
        <v>26.344770453451844</v>
      </c>
      <c r="E42" s="1">
        <f>D42*7</f>
        <v>184.41339317416291</v>
      </c>
      <c r="G42" s="33">
        <f>'Price list REWE '!E39</f>
        <v>1.49</v>
      </c>
      <c r="H42" s="31">
        <f>G42/1000*D42</f>
        <v>3.9253707975643246E-2</v>
      </c>
      <c r="J42" s="45">
        <f>'Price list REWE '!H39</f>
        <v>1.49</v>
      </c>
      <c r="K42" s="42">
        <f>J42/1000*D42</f>
        <v>3.9253707975643246E-2</v>
      </c>
      <c r="M42" s="31">
        <f>'Price list ALDI Süd'!E39</f>
        <v>1.49</v>
      </c>
      <c r="N42" s="31">
        <f>M42/1000*D42</f>
        <v>3.9253707975643246E-2</v>
      </c>
      <c r="P42" s="42">
        <f>'Price list ALDI Süd'!H39</f>
        <v>1.49</v>
      </c>
      <c r="Q42" s="42">
        <f>P42/1000*D42</f>
        <v>3.9253707975643246E-2</v>
      </c>
    </row>
    <row r="43" spans="1:24" ht="17" x14ac:dyDescent="0.2">
      <c r="B43" s="16" t="s">
        <v>91</v>
      </c>
      <c r="C43" s="340">
        <v>0.10630306243579046</v>
      </c>
      <c r="D43" s="1">
        <f t="shared" ref="D43:D46" si="13">C43*$D$41</f>
        <v>11.48073074306537</v>
      </c>
      <c r="E43" s="1">
        <f>D43*7</f>
        <v>80.365115201457598</v>
      </c>
      <c r="G43" s="31">
        <f>'Price list REWE '!E40</f>
        <v>1.99</v>
      </c>
      <c r="H43" s="31">
        <f>G43/1000*D43</f>
        <v>2.2846654178700087E-2</v>
      </c>
      <c r="J43" s="42">
        <f>'Price list REWE '!H40</f>
        <v>7.3</v>
      </c>
      <c r="K43" s="42">
        <f>J43/1000*D43</f>
        <v>8.3809334424377199E-2</v>
      </c>
      <c r="M43" s="31">
        <f>'Price list ALDI Süd'!E40</f>
        <v>1.99</v>
      </c>
      <c r="N43" s="31">
        <f>M43/1000*D43</f>
        <v>2.2846654178700087E-2</v>
      </c>
      <c r="P43" s="42">
        <f>'Price list ALDI Süd'!H40</f>
        <v>3.32</v>
      </c>
      <c r="Q43" s="42">
        <f>P43/1000*D43</f>
        <v>3.8116026066977032E-2</v>
      </c>
    </row>
    <row r="44" spans="1:24" ht="17" x14ac:dyDescent="0.2">
      <c r="B44" s="16" t="s">
        <v>94</v>
      </c>
      <c r="C44" s="87">
        <v>0.46774770023805184</v>
      </c>
      <c r="D44" s="1">
        <f t="shared" si="13"/>
        <v>50.516751625709603</v>
      </c>
      <c r="E44" s="1">
        <f>D44*7</f>
        <v>353.6172613799672</v>
      </c>
      <c r="G44" s="33">
        <f>'Price list REWE '!E41</f>
        <v>1.79</v>
      </c>
      <c r="H44" s="31">
        <f>G44/1000*D44</f>
        <v>9.0424985410020198E-2</v>
      </c>
      <c r="J44" s="45">
        <f>'Price list REWE '!H41</f>
        <v>3.05</v>
      </c>
      <c r="K44" s="42">
        <f>J44/1000*D44</f>
        <v>0.15407609245841428</v>
      </c>
      <c r="M44" s="31">
        <f>'Price list ALDI Süd'!E41</f>
        <v>1.99</v>
      </c>
      <c r="N44" s="31">
        <f>M44/1000*D44</f>
        <v>0.10052833573516211</v>
      </c>
      <c r="P44" s="42">
        <f>'Price list ALDI Süd'!H41</f>
        <v>1.99</v>
      </c>
      <c r="Q44" s="42">
        <f>P44/1000*D44</f>
        <v>0.10052833573516211</v>
      </c>
    </row>
    <row r="45" spans="1:24" ht="17" x14ac:dyDescent="0.2">
      <c r="B45" s="16" t="s">
        <v>398</v>
      </c>
      <c r="C45" s="87">
        <v>0.10260798307610458</v>
      </c>
      <c r="D45" s="1">
        <f t="shared" si="13"/>
        <v>11.081662172219295</v>
      </c>
      <c r="E45" s="1">
        <f>D45*7</f>
        <v>77.57163520553506</v>
      </c>
      <c r="G45" s="33">
        <f>'Price list REWE '!E42</f>
        <v>6.99</v>
      </c>
      <c r="H45" s="31">
        <f>G45/1000*D45</f>
        <v>7.7460818583812874E-2</v>
      </c>
      <c r="J45" s="45">
        <f>'Price list REWE '!H42</f>
        <v>9.9600000000000009</v>
      </c>
      <c r="K45" s="42">
        <f>J45/1000*D45</f>
        <v>0.11037335523530417</v>
      </c>
      <c r="M45" s="31">
        <f>'Price list ALDI Süd'!E42</f>
        <v>4.9800000000000004</v>
      </c>
      <c r="N45" s="31">
        <f>M45/1000*D45</f>
        <v>5.5186677617652086E-2</v>
      </c>
      <c r="P45" s="42">
        <f>'Price list ALDI Süd'!H42</f>
        <v>7.16</v>
      </c>
      <c r="Q45" s="42">
        <f>P45/1000*D45</f>
        <v>7.9344701153090155E-2</v>
      </c>
    </row>
    <row r="46" spans="1:24" ht="17" x14ac:dyDescent="0.2">
      <c r="B46" s="16" t="s">
        <v>100</v>
      </c>
      <c r="C46" s="87">
        <v>7.9408194495869444E-2</v>
      </c>
      <c r="D46" s="1">
        <f t="shared" si="13"/>
        <v>8.5760850055538995</v>
      </c>
      <c r="E46" s="1">
        <f>D46*7</f>
        <v>60.032595038877297</v>
      </c>
      <c r="G46" s="33">
        <f>'Price list REWE '!E43</f>
        <v>10</v>
      </c>
      <c r="H46" s="31">
        <f>G46/1000*D46</f>
        <v>8.5760850055539004E-2</v>
      </c>
      <c r="J46" s="45">
        <f>'Price list REWE '!H43</f>
        <v>10</v>
      </c>
      <c r="K46" s="42">
        <f>J46/1000*D46</f>
        <v>8.5760850055539004E-2</v>
      </c>
      <c r="M46" s="31">
        <f>'Price list ALDI Süd'!E43</f>
        <v>9.9</v>
      </c>
      <c r="N46" s="31">
        <f>M46/1000*D46</f>
        <v>8.4903241554983619E-2</v>
      </c>
      <c r="P46" s="42">
        <f>'Price list ALDI Süd'!H43</f>
        <v>9.9</v>
      </c>
      <c r="Q46" s="42">
        <f>P46/1000*D46</f>
        <v>8.4903241554983619E-2</v>
      </c>
    </row>
    <row r="47" spans="1:24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24" s="4" customFormat="1" ht="17" x14ac:dyDescent="0.2">
      <c r="A48" s="12" t="s">
        <v>399</v>
      </c>
      <c r="C48" s="88"/>
      <c r="D48" s="4">
        <f>200*C4</f>
        <v>216</v>
      </c>
      <c r="E48" s="4">
        <f>D48*$E$10</f>
        <v>1512</v>
      </c>
      <c r="F48" s="4">
        <f>126*C4</f>
        <v>136.08000000000001</v>
      </c>
      <c r="R48" s="1"/>
      <c r="S48" s="1"/>
      <c r="T48" s="1"/>
      <c r="U48" s="1"/>
      <c r="V48" s="1"/>
      <c r="W48" s="1"/>
      <c r="X48" s="1"/>
    </row>
    <row r="49" spans="1:24" ht="17" x14ac:dyDescent="0.2">
      <c r="B49" s="11" t="s">
        <v>103</v>
      </c>
      <c r="C49" s="342">
        <v>0.44966025536520082</v>
      </c>
      <c r="D49" s="1">
        <f>C49*$D$48</f>
        <v>97.126615158883382</v>
      </c>
      <c r="E49" s="1">
        <f t="shared" ref="E49:E58" si="14">D49*$E$10</f>
        <v>679.88630611218366</v>
      </c>
      <c r="G49" s="58">
        <f>'Price list REWE '!E46</f>
        <v>1.19</v>
      </c>
      <c r="H49" s="31">
        <f t="shared" ref="H49:H58" si="15">G49/1000*D49</f>
        <v>0.11558067203907121</v>
      </c>
      <c r="J49" s="187">
        <f>'Price list REWE '!H46</f>
        <v>2.99</v>
      </c>
      <c r="K49" s="42">
        <f t="shared" ref="K49:K58" si="16">J49/1000*D49</f>
        <v>0.29040857932506131</v>
      </c>
      <c r="M49" s="31">
        <f>'Price list ALDI Süd'!E46</f>
        <v>0.94499999999999995</v>
      </c>
      <c r="N49" s="31">
        <f t="shared" ref="N49:N58" si="17">M49/1000*D49</f>
        <v>9.1784651325144795E-2</v>
      </c>
      <c r="P49" s="42">
        <f>'Price list ALDI Süd'!H46</f>
        <v>1.92</v>
      </c>
      <c r="Q49" s="42">
        <f t="shared" ref="Q49:Q58" si="18">P49/1000*D49</f>
        <v>0.18648310110505609</v>
      </c>
    </row>
    <row r="50" spans="1:24" ht="17" x14ac:dyDescent="0.2">
      <c r="B50" s="26" t="s">
        <v>106</v>
      </c>
      <c r="C50" s="342">
        <v>4.5787970295011769E-2</v>
      </c>
      <c r="D50" s="1">
        <f t="shared" ref="D50:D58" si="19">C50*$D$48</f>
        <v>9.8902015837225417</v>
      </c>
      <c r="E50" s="1">
        <f t="shared" si="14"/>
        <v>69.23141108605779</v>
      </c>
      <c r="G50" s="58">
        <f>'Price list REWE '!E47</f>
        <v>1.79</v>
      </c>
      <c r="H50" s="31">
        <f t="shared" si="15"/>
        <v>1.7703460834863349E-2</v>
      </c>
      <c r="J50" s="187">
        <f>'Price list REWE '!H47</f>
        <v>3.65</v>
      </c>
      <c r="K50" s="42">
        <f t="shared" si="16"/>
        <v>3.6099235780587276E-2</v>
      </c>
      <c r="M50" s="31">
        <f>'Price list ALDI Süd'!E47</f>
        <v>1.79</v>
      </c>
      <c r="N50" s="31">
        <f t="shared" si="17"/>
        <v>1.7703460834863349E-2</v>
      </c>
      <c r="P50" s="42">
        <f>'Price list ALDI Süd'!H47</f>
        <v>3.65</v>
      </c>
      <c r="Q50" s="42">
        <f t="shared" si="18"/>
        <v>3.6099235780587276E-2</v>
      </c>
    </row>
    <row r="51" spans="1:24" ht="17" x14ac:dyDescent="0.2">
      <c r="B51" s="26" t="s">
        <v>109</v>
      </c>
      <c r="C51" s="342">
        <v>2.019481503339627E-2</v>
      </c>
      <c r="D51" s="1">
        <f t="shared" si="19"/>
        <v>4.3620800472135945</v>
      </c>
      <c r="E51" s="1">
        <f t="shared" si="14"/>
        <v>30.534560330495161</v>
      </c>
      <c r="G51" s="58">
        <f>'Price list REWE '!E48</f>
        <v>4.99</v>
      </c>
      <c r="H51" s="31">
        <f t="shared" si="15"/>
        <v>2.1766779435595841E-2</v>
      </c>
      <c r="J51" s="187">
        <f>'Price list REWE '!H48</f>
        <v>4.99</v>
      </c>
      <c r="K51" s="42">
        <f t="shared" si="16"/>
        <v>2.1766779435595841E-2</v>
      </c>
      <c r="M51" s="31">
        <f>'Price list ALDI Süd'!E48</f>
        <v>3.98</v>
      </c>
      <c r="N51" s="31">
        <f t="shared" si="17"/>
        <v>1.7361078587910108E-2</v>
      </c>
      <c r="P51" s="42">
        <f>'Price list ALDI Süd'!H48</f>
        <v>3.98</v>
      </c>
      <c r="Q51" s="42">
        <f t="shared" si="18"/>
        <v>1.7361078587910108E-2</v>
      </c>
    </row>
    <row r="52" spans="1:24" ht="17" x14ac:dyDescent="0.2">
      <c r="B52" s="26" t="s">
        <v>111</v>
      </c>
      <c r="C52" s="342">
        <v>2.0560497203855613E-2</v>
      </c>
      <c r="D52" s="1">
        <f t="shared" si="19"/>
        <v>4.4410673960328122</v>
      </c>
      <c r="E52" s="1">
        <f t="shared" si="14"/>
        <v>31.087471772229684</v>
      </c>
      <c r="G52" s="58">
        <f>'Price list REWE '!E49</f>
        <v>7.98</v>
      </c>
      <c r="H52" s="31">
        <f t="shared" si="15"/>
        <v>3.5439717820341846E-2</v>
      </c>
      <c r="J52" s="187">
        <f>'Price list REWE '!H49</f>
        <v>10.63</v>
      </c>
      <c r="K52" s="42">
        <f t="shared" si="16"/>
        <v>4.7208546419828794E-2</v>
      </c>
      <c r="M52" s="31">
        <f>'Price list ALDI Süd'!E49</f>
        <v>7.98</v>
      </c>
      <c r="N52" s="31">
        <f t="shared" si="17"/>
        <v>3.5439717820341846E-2</v>
      </c>
      <c r="P52" s="42">
        <f>'Price list ALDI Süd'!H49</f>
        <v>9.9700000000000006</v>
      </c>
      <c r="Q52" s="42">
        <f t="shared" si="18"/>
        <v>4.4277441938447147E-2</v>
      </c>
    </row>
    <row r="53" spans="1:24" ht="17" x14ac:dyDescent="0.2">
      <c r="B53" s="26" t="s">
        <v>114</v>
      </c>
      <c r="C53" s="342">
        <v>1.772181875645604E-2</v>
      </c>
      <c r="D53" s="1">
        <f t="shared" si="19"/>
        <v>3.8279128513945047</v>
      </c>
      <c r="E53" s="1">
        <f t="shared" si="14"/>
        <v>26.795389959761533</v>
      </c>
      <c r="G53" s="58">
        <f>'Price list REWE '!E50</f>
        <v>5.98</v>
      </c>
      <c r="H53" s="31">
        <f t="shared" si="15"/>
        <v>2.2890918851339138E-2</v>
      </c>
      <c r="J53" s="187">
        <f>'Price list REWE '!H50</f>
        <v>10.63</v>
      </c>
      <c r="K53" s="42">
        <f t="shared" si="16"/>
        <v>4.0690713610323587E-2</v>
      </c>
      <c r="M53" s="31">
        <f>'Price list ALDI Süd'!E50</f>
        <v>5.98</v>
      </c>
      <c r="N53" s="31">
        <f t="shared" si="17"/>
        <v>2.2890918851339138E-2</v>
      </c>
      <c r="P53" s="42">
        <f>'Price list ALDI Süd'!H50</f>
        <v>9.9700000000000006</v>
      </c>
      <c r="Q53" s="42">
        <f t="shared" si="18"/>
        <v>3.8164291128403215E-2</v>
      </c>
    </row>
    <row r="54" spans="1:24" ht="17" x14ac:dyDescent="0.2">
      <c r="B54" s="26" t="s">
        <v>117</v>
      </c>
      <c r="C54" s="342">
        <v>7.018785236884495E-2</v>
      </c>
      <c r="D54" s="1">
        <f t="shared" si="19"/>
        <v>15.160576111670508</v>
      </c>
      <c r="E54" s="1">
        <f t="shared" si="14"/>
        <v>106.12403278169356</v>
      </c>
      <c r="G54" s="58">
        <f>'Price list REWE '!E51</f>
        <v>5.58</v>
      </c>
      <c r="H54" s="31">
        <f t="shared" si="15"/>
        <v>8.4596014703121433E-2</v>
      </c>
      <c r="J54" s="187">
        <f>'Price list REWE '!H51</f>
        <v>5.58</v>
      </c>
      <c r="K54" s="42">
        <f t="shared" si="16"/>
        <v>8.4596014703121433E-2</v>
      </c>
      <c r="M54" s="31">
        <f>'Price list ALDI Süd'!E51</f>
        <v>3.99</v>
      </c>
      <c r="N54" s="31">
        <f t="shared" si="17"/>
        <v>6.0490698685565336E-2</v>
      </c>
      <c r="P54" s="42">
        <f>'Price list ALDI Süd'!H51</f>
        <v>9.9700000000000006</v>
      </c>
      <c r="Q54" s="42">
        <f t="shared" si="18"/>
        <v>0.15115094383335498</v>
      </c>
    </row>
    <row r="55" spans="1:24" ht="17" x14ac:dyDescent="0.2">
      <c r="B55" s="26" t="s">
        <v>119</v>
      </c>
      <c r="C55" s="342">
        <v>9.5944736748873077E-2</v>
      </c>
      <c r="D55" s="1">
        <f t="shared" si="19"/>
        <v>20.724063137756584</v>
      </c>
      <c r="E55" s="1">
        <f t="shared" si="14"/>
        <v>145.06844196429608</v>
      </c>
      <c r="G55" s="58">
        <f>'Price list REWE '!E52</f>
        <v>3.58</v>
      </c>
      <c r="H55" s="31">
        <f t="shared" si="15"/>
        <v>7.4192146033168579E-2</v>
      </c>
      <c r="J55" s="187">
        <f>'Price list REWE '!H52</f>
        <v>3.58</v>
      </c>
      <c r="K55" s="42">
        <f t="shared" si="16"/>
        <v>7.4192146033168579E-2</v>
      </c>
      <c r="M55" s="31">
        <f>'Price list ALDI Süd'!E52</f>
        <v>3.38</v>
      </c>
      <c r="N55" s="31">
        <f t="shared" si="17"/>
        <v>7.0047333405617251E-2</v>
      </c>
      <c r="P55" s="42">
        <f>'Price list ALDI Süd'!H52</f>
        <v>3.38</v>
      </c>
      <c r="Q55" s="42">
        <f t="shared" si="18"/>
        <v>7.0047333405617251E-2</v>
      </c>
    </row>
    <row r="56" spans="1:24" ht="17" x14ac:dyDescent="0.2">
      <c r="B56" s="26" t="s">
        <v>121</v>
      </c>
      <c r="C56" s="342">
        <v>0.21388130862220195</v>
      </c>
      <c r="D56" s="1">
        <f t="shared" si="19"/>
        <v>46.198362662395624</v>
      </c>
      <c r="E56" s="1">
        <f t="shared" si="14"/>
        <v>323.38853863676934</v>
      </c>
      <c r="G56" s="58">
        <f>'Price list REWE '!E53</f>
        <v>1.29</v>
      </c>
      <c r="H56" s="31">
        <f t="shared" si="15"/>
        <v>5.9595887834490359E-2</v>
      </c>
      <c r="J56" s="187">
        <f>'Price list REWE '!H53</f>
        <v>1.99</v>
      </c>
      <c r="K56" s="42">
        <f t="shared" si="16"/>
        <v>9.1934741698167288E-2</v>
      </c>
      <c r="M56" s="31">
        <f>'Price list ALDI Süd'!E53</f>
        <v>1.29</v>
      </c>
      <c r="N56" s="31">
        <f t="shared" si="17"/>
        <v>5.9595887834490359E-2</v>
      </c>
      <c r="P56" s="42">
        <f>'Price list ALDI Süd'!H53</f>
        <v>1.99</v>
      </c>
      <c r="Q56" s="42">
        <f t="shared" si="18"/>
        <v>9.1934741698167288E-2</v>
      </c>
    </row>
    <row r="57" spans="1:24" ht="17" x14ac:dyDescent="0.2">
      <c r="B57" s="1" t="s">
        <v>124</v>
      </c>
      <c r="C57" s="87">
        <v>1.1705878785865603E-2</v>
      </c>
      <c r="D57" s="1">
        <f t="shared" si="19"/>
        <v>2.5284698177469704</v>
      </c>
      <c r="E57" s="1">
        <f t="shared" si="14"/>
        <v>17.699288724228794</v>
      </c>
      <c r="G57" s="31">
        <f>'Price list REWE '!E54</f>
        <v>5.98</v>
      </c>
      <c r="H57" s="31">
        <f t="shared" si="15"/>
        <v>1.5120249510126884E-2</v>
      </c>
      <c r="J57" s="42">
        <f>'Price list REWE '!H54</f>
        <v>5.98</v>
      </c>
      <c r="K57" s="42">
        <f t="shared" si="16"/>
        <v>1.5120249510126884E-2</v>
      </c>
      <c r="M57" s="31">
        <f>'Price list ALDI Süd'!E54</f>
        <v>3.98</v>
      </c>
      <c r="N57" s="31">
        <f t="shared" si="17"/>
        <v>1.0063309874632942E-2</v>
      </c>
      <c r="P57" s="42">
        <f>'Price list ALDI Süd'!H54</f>
        <v>3.98</v>
      </c>
      <c r="Q57" s="42">
        <f t="shared" si="18"/>
        <v>1.0063309874632942E-2</v>
      </c>
    </row>
    <row r="58" spans="1:24" ht="17" x14ac:dyDescent="0.2">
      <c r="B58" s="26" t="s">
        <v>126</v>
      </c>
      <c r="C58" s="87">
        <v>5.4354866820293855E-2</v>
      </c>
      <c r="D58" s="1">
        <f t="shared" si="19"/>
        <v>11.740651233183472</v>
      </c>
      <c r="E58" s="1">
        <f t="shared" si="14"/>
        <v>82.184558632284308</v>
      </c>
      <c r="G58" s="31">
        <f>'Price list REWE '!E55</f>
        <v>4.9800000000000004</v>
      </c>
      <c r="H58" s="31">
        <f t="shared" si="15"/>
        <v>5.8468443141253691E-2</v>
      </c>
      <c r="J58" s="42">
        <f>'Price list REWE '!H55</f>
        <v>4.9800000000000004</v>
      </c>
      <c r="K58" s="42">
        <f t="shared" si="16"/>
        <v>5.8468443141253691E-2</v>
      </c>
      <c r="M58" s="31">
        <f>'Price list ALDI Süd'!E55</f>
        <v>3.98</v>
      </c>
      <c r="N58" s="31">
        <f t="shared" si="17"/>
        <v>4.6727791908070221E-2</v>
      </c>
      <c r="P58" s="42">
        <f>'Price list ALDI Süd'!H55</f>
        <v>3.98</v>
      </c>
      <c r="Q58" s="42">
        <f t="shared" si="18"/>
        <v>4.6727791908070221E-2</v>
      </c>
    </row>
    <row r="59" spans="1:24" x14ac:dyDescent="0.2">
      <c r="A59" s="9">
        <v>10</v>
      </c>
      <c r="B59" s="26"/>
      <c r="G59" s="31"/>
      <c r="H59" s="31"/>
      <c r="J59" s="42"/>
      <c r="K59" s="42"/>
      <c r="M59" s="31"/>
      <c r="N59" s="31"/>
      <c r="P59" s="42"/>
      <c r="Q59" s="42"/>
    </row>
    <row r="60" spans="1:24" s="4" customFormat="1" ht="17" x14ac:dyDescent="0.2">
      <c r="A60" s="12" t="s">
        <v>400</v>
      </c>
      <c r="D60" s="4">
        <f>250*C4</f>
        <v>270</v>
      </c>
      <c r="E60" s="4">
        <f>D60*$E$10</f>
        <v>1890</v>
      </c>
      <c r="F60" s="4">
        <f>153*C4</f>
        <v>165.24</v>
      </c>
      <c r="R60" s="1"/>
      <c r="S60" s="1"/>
      <c r="T60" s="1"/>
      <c r="U60" s="1"/>
      <c r="V60" s="1"/>
      <c r="W60" s="1"/>
      <c r="X60" s="1"/>
    </row>
    <row r="61" spans="1:24" ht="17" x14ac:dyDescent="0.2">
      <c r="B61" s="1" t="s">
        <v>129</v>
      </c>
      <c r="D61" s="1">
        <f>100*C4</f>
        <v>108</v>
      </c>
      <c r="E61" s="1">
        <f t="shared" ref="E61:E69" si="20">D61*$E$10</f>
        <v>756</v>
      </c>
      <c r="G61" s="31">
        <f>'Price list REWE '!E58</f>
        <v>1.05</v>
      </c>
      <c r="H61" s="31">
        <f t="shared" ref="H61:H69" si="21">G61/1000*D61</f>
        <v>0.11340000000000001</v>
      </c>
      <c r="J61" s="42">
        <f>'Price list REWE '!H58</f>
        <v>1.25</v>
      </c>
      <c r="K61" s="42">
        <f t="shared" ref="K61:K69" si="22">J61/1000*D61</f>
        <v>0.13500000000000001</v>
      </c>
      <c r="M61" s="31">
        <f>'Price list ALDI Süd'!E58</f>
        <v>1.05</v>
      </c>
      <c r="N61" s="31">
        <f t="shared" ref="N61:N69" si="23">M61/1000*D61</f>
        <v>0.11340000000000001</v>
      </c>
      <c r="P61" s="42">
        <f>'Price list ALDI Süd'!H58</f>
        <v>1.25</v>
      </c>
      <c r="Q61" s="42">
        <f t="shared" ref="Q61:Q69" si="24">P61/1000*D61</f>
        <v>0.13500000000000001</v>
      </c>
    </row>
    <row r="62" spans="1:24" ht="17" x14ac:dyDescent="0.2">
      <c r="B62" s="1" t="s">
        <v>132</v>
      </c>
      <c r="D62" s="1">
        <f>80*C4</f>
        <v>86.4</v>
      </c>
      <c r="E62" s="1">
        <f t="shared" si="20"/>
        <v>604.80000000000007</v>
      </c>
      <c r="G62" s="31">
        <f>'Price list REWE '!E59</f>
        <v>1.7</v>
      </c>
      <c r="H62" s="31">
        <f t="shared" si="21"/>
        <v>0.14688000000000001</v>
      </c>
      <c r="J62" s="42">
        <f>'Price list REWE '!H59</f>
        <v>2.38</v>
      </c>
      <c r="K62" s="42">
        <f t="shared" si="22"/>
        <v>0.20563199999999998</v>
      </c>
      <c r="M62" s="31">
        <f>'Price list ALDI Süd'!E59</f>
        <v>1.7</v>
      </c>
      <c r="N62" s="31">
        <f t="shared" si="23"/>
        <v>0.14688000000000001</v>
      </c>
      <c r="P62" s="42">
        <f>'Price list ALDI Süd'!H59</f>
        <v>2.38</v>
      </c>
      <c r="Q62" s="42">
        <f t="shared" si="24"/>
        <v>0.20563199999999998</v>
      </c>
    </row>
    <row r="63" spans="1:24" ht="17" x14ac:dyDescent="0.2">
      <c r="B63" s="1" t="s">
        <v>135</v>
      </c>
      <c r="D63" s="1">
        <f>10*C4</f>
        <v>10.8</v>
      </c>
      <c r="E63" s="1">
        <f t="shared" si="20"/>
        <v>75.600000000000009</v>
      </c>
      <c r="G63" s="31">
        <f>'Price list REWE '!E60</f>
        <v>4.63</v>
      </c>
      <c r="H63" s="31">
        <f t="shared" si="21"/>
        <v>5.0004E-2</v>
      </c>
      <c r="J63" s="42">
        <f>'Price list REWE '!H60</f>
        <v>7.37</v>
      </c>
      <c r="K63" s="42">
        <f t="shared" si="22"/>
        <v>7.9596E-2</v>
      </c>
      <c r="M63" s="31">
        <f>'Price list ALDI Süd'!E60</f>
        <v>4.63</v>
      </c>
      <c r="N63" s="31">
        <f t="shared" si="23"/>
        <v>5.0004E-2</v>
      </c>
      <c r="P63" s="42">
        <f>'Price list ALDI Süd'!H60</f>
        <v>7.37</v>
      </c>
      <c r="Q63" s="42">
        <f t="shared" si="24"/>
        <v>7.9596E-2</v>
      </c>
    </row>
    <row r="64" spans="1:24" ht="17" x14ac:dyDescent="0.2">
      <c r="B64" s="1" t="s">
        <v>138</v>
      </c>
      <c r="D64" s="1">
        <f>10*C4</f>
        <v>10.8</v>
      </c>
      <c r="E64" s="1">
        <f t="shared" si="20"/>
        <v>75.600000000000009</v>
      </c>
      <c r="G64" s="31">
        <f>'Price list REWE '!E61</f>
        <v>2.98</v>
      </c>
      <c r="H64" s="31">
        <f t="shared" si="21"/>
        <v>3.2184000000000004E-2</v>
      </c>
      <c r="J64" s="42">
        <f>'Price list REWE '!H61</f>
        <v>4.2</v>
      </c>
      <c r="K64" s="42">
        <f t="shared" si="22"/>
        <v>4.5360000000000011E-2</v>
      </c>
      <c r="M64" s="31">
        <f>'Price list ALDI Süd'!E61</f>
        <v>2.8</v>
      </c>
      <c r="N64" s="31">
        <f t="shared" si="23"/>
        <v>3.0240000000000003E-2</v>
      </c>
      <c r="P64" s="42">
        <f>'Price list ALDI Süd'!H61</f>
        <v>4.2</v>
      </c>
      <c r="Q64" s="42">
        <f t="shared" si="24"/>
        <v>4.5360000000000011E-2</v>
      </c>
    </row>
    <row r="65" spans="1:24" ht="17" x14ac:dyDescent="0.2">
      <c r="B65" s="1" t="s">
        <v>141</v>
      </c>
      <c r="D65" s="1">
        <f>10*C4</f>
        <v>10.8</v>
      </c>
      <c r="E65" s="1">
        <f t="shared" si="20"/>
        <v>75.600000000000009</v>
      </c>
      <c r="G65" s="31">
        <f>'Price list REWE '!E62</f>
        <v>7.92</v>
      </c>
      <c r="H65" s="31">
        <f t="shared" si="21"/>
        <v>8.5536000000000001E-2</v>
      </c>
      <c r="J65" s="42">
        <f>'Price list REWE '!H62</f>
        <v>10.32</v>
      </c>
      <c r="K65" s="42">
        <f t="shared" si="22"/>
        <v>0.11145600000000001</v>
      </c>
      <c r="M65" s="31">
        <f>'Price list ALDI Süd'!E62</f>
        <v>7.92</v>
      </c>
      <c r="N65" s="31">
        <f t="shared" si="23"/>
        <v>8.5536000000000001E-2</v>
      </c>
      <c r="P65" s="42">
        <f>'Price list ALDI Süd'!H62</f>
        <v>10.32</v>
      </c>
      <c r="Q65" s="42">
        <f t="shared" si="24"/>
        <v>0.11145600000000001</v>
      </c>
    </row>
    <row r="66" spans="1:24" ht="17" x14ac:dyDescent="0.2">
      <c r="B66" s="1" t="s">
        <v>144</v>
      </c>
      <c r="D66" s="1">
        <f>10*C4</f>
        <v>10.8</v>
      </c>
      <c r="E66" s="1">
        <f t="shared" si="20"/>
        <v>75.600000000000009</v>
      </c>
      <c r="G66" s="31">
        <f>'Price list REWE '!E63</f>
        <v>3.45</v>
      </c>
      <c r="H66" s="31">
        <f t="shared" si="21"/>
        <v>3.7260000000000008E-2</v>
      </c>
      <c r="J66" s="42">
        <f>'Price list REWE '!H63</f>
        <v>4.45</v>
      </c>
      <c r="K66" s="42">
        <f t="shared" si="22"/>
        <v>4.8060000000000005E-2</v>
      </c>
      <c r="M66" s="31">
        <f>'Price list ALDI Süd'!E63</f>
        <v>3.45</v>
      </c>
      <c r="N66" s="31">
        <f t="shared" si="23"/>
        <v>3.7260000000000008E-2</v>
      </c>
      <c r="P66" s="42">
        <f>'Price list ALDI Süd'!H63</f>
        <v>4.25</v>
      </c>
      <c r="Q66" s="42">
        <f t="shared" si="24"/>
        <v>4.5900000000000003E-2</v>
      </c>
    </row>
    <row r="67" spans="1:24" ht="19" customHeight="1" x14ac:dyDescent="0.2">
      <c r="B67" s="1" t="s">
        <v>401</v>
      </c>
      <c r="D67" s="1">
        <f>10*C4</f>
        <v>10.8</v>
      </c>
      <c r="E67" s="1">
        <f t="shared" si="20"/>
        <v>75.600000000000009</v>
      </c>
      <c r="G67" s="31">
        <f>'Price list REWE '!E64</f>
        <v>7.48</v>
      </c>
      <c r="H67" s="31">
        <f t="shared" si="21"/>
        <v>8.0784000000000009E-2</v>
      </c>
      <c r="J67" s="42">
        <f>'Price list REWE '!H64</f>
        <v>12.6</v>
      </c>
      <c r="K67" s="42">
        <f t="shared" si="22"/>
        <v>0.13608000000000001</v>
      </c>
      <c r="M67" s="31">
        <f>'Price list ALDI Süd'!E64</f>
        <v>9.9600000000000009</v>
      </c>
      <c r="N67" s="31">
        <f t="shared" si="23"/>
        <v>0.10756800000000001</v>
      </c>
      <c r="P67" s="42">
        <f>'Price list ALDI Süd'!H64</f>
        <v>10.95</v>
      </c>
      <c r="Q67" s="42">
        <f t="shared" si="24"/>
        <v>0.11826</v>
      </c>
    </row>
    <row r="68" spans="1:24" ht="34" x14ac:dyDescent="0.2">
      <c r="B68" s="1" t="s">
        <v>402</v>
      </c>
      <c r="D68" s="1">
        <f>10*C4</f>
        <v>10.8</v>
      </c>
      <c r="E68" s="1">
        <f t="shared" si="20"/>
        <v>75.600000000000009</v>
      </c>
      <c r="G68" s="31">
        <f>'Price list REWE '!E65</f>
        <v>11.56</v>
      </c>
      <c r="H68" s="31">
        <f t="shared" si="21"/>
        <v>0.12484800000000001</v>
      </c>
      <c r="J68" s="42">
        <f>'Price list REWE '!H65</f>
        <v>14.6</v>
      </c>
      <c r="K68" s="42">
        <f t="shared" si="22"/>
        <v>0.15768000000000001</v>
      </c>
      <c r="M68" s="31">
        <f>'Price list ALDI Süd'!E65</f>
        <v>11.56</v>
      </c>
      <c r="N68" s="31">
        <f t="shared" si="23"/>
        <v>0.12484800000000001</v>
      </c>
      <c r="P68" s="42">
        <f>'Price list ALDI Süd'!H65</f>
        <v>14.6</v>
      </c>
      <c r="Q68" s="42">
        <f t="shared" si="24"/>
        <v>0.15768000000000001</v>
      </c>
    </row>
    <row r="69" spans="1:24" ht="17" x14ac:dyDescent="0.2">
      <c r="B69" s="1" t="s">
        <v>403</v>
      </c>
      <c r="D69" s="1">
        <f>10*C4</f>
        <v>10.8</v>
      </c>
      <c r="E69" s="1">
        <f t="shared" si="20"/>
        <v>75.600000000000009</v>
      </c>
      <c r="G69" s="31">
        <f>'Price list REWE '!E66</f>
        <v>9.9499999999999993</v>
      </c>
      <c r="H69" s="31">
        <f t="shared" si="21"/>
        <v>0.10746</v>
      </c>
      <c r="J69" s="42">
        <f>'Price list REWE '!H66</f>
        <v>13.27</v>
      </c>
      <c r="K69" s="42">
        <f t="shared" si="22"/>
        <v>0.143316</v>
      </c>
      <c r="M69" s="31">
        <f>'Price list ALDI Süd'!E66</f>
        <v>9.9499999999999993</v>
      </c>
      <c r="N69" s="31">
        <f t="shared" si="23"/>
        <v>0.10746</v>
      </c>
      <c r="P69" s="42">
        <f>'Price list ALDI Süd'!H66</f>
        <v>13.28</v>
      </c>
      <c r="Q69" s="42">
        <f t="shared" si="24"/>
        <v>0.14342400000000002</v>
      </c>
    </row>
    <row r="70" spans="1:24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24" s="4" customFormat="1" ht="17" x14ac:dyDescent="0.2">
      <c r="A71" s="12" t="s">
        <v>156</v>
      </c>
      <c r="B71" s="12" t="s">
        <v>157</v>
      </c>
      <c r="D71" s="4">
        <f>E71/7*C4</f>
        <v>0.94500000000000006</v>
      </c>
      <c r="E71" s="4">
        <v>6.125</v>
      </c>
      <c r="F71" s="4">
        <f>15*C4</f>
        <v>16.200000000000003</v>
      </c>
      <c r="R71" s="1"/>
      <c r="S71" s="1"/>
      <c r="T71" s="1"/>
      <c r="U71" s="1"/>
      <c r="V71" s="1"/>
      <c r="W71" s="1"/>
      <c r="X71" s="1"/>
    </row>
    <row r="72" spans="1:24" ht="17" x14ac:dyDescent="0.2">
      <c r="B72" s="1" t="s">
        <v>158</v>
      </c>
      <c r="D72" s="1">
        <f>E72/7*C4</f>
        <v>0.94500000000000006</v>
      </c>
      <c r="E72" s="1">
        <v>6.125</v>
      </c>
      <c r="G72" s="31">
        <f>'Price list REWE '!E69</f>
        <v>13.96</v>
      </c>
      <c r="H72" s="31">
        <f>G72/1000*D72</f>
        <v>1.3192200000000001E-2</v>
      </c>
      <c r="J72" s="42">
        <f>'Price list REWE '!H69</f>
        <v>15.9</v>
      </c>
      <c r="K72" s="42">
        <f>J72/1000*D72</f>
        <v>1.5025500000000002E-2</v>
      </c>
      <c r="M72" s="31">
        <f>'Price list ALDI Süd'!E69</f>
        <v>9.7799999999999994</v>
      </c>
      <c r="N72" s="31">
        <f>M72/1000*D72</f>
        <v>9.2420999999999996E-3</v>
      </c>
      <c r="P72" s="42">
        <f>'Price list ALDI Süd'!H69</f>
        <v>11.98</v>
      </c>
      <c r="Q72" s="42">
        <f>P72/1000*D72</f>
        <v>1.1321100000000002E-2</v>
      </c>
    </row>
    <row r="73" spans="1:24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24" s="4" customFormat="1" ht="17" x14ac:dyDescent="0.2">
      <c r="A74" s="12"/>
      <c r="B74" s="12" t="s">
        <v>161</v>
      </c>
      <c r="D74" s="4">
        <f>E74/7*C4</f>
        <v>0.94500000000000006</v>
      </c>
      <c r="E74" s="4">
        <v>6.125</v>
      </c>
      <c r="F74" s="4">
        <f>15*C4</f>
        <v>16.200000000000003</v>
      </c>
      <c r="R74" s="1"/>
      <c r="S74" s="1"/>
      <c r="T74" s="1"/>
      <c r="U74" s="1"/>
      <c r="V74" s="1"/>
      <c r="W74" s="1"/>
      <c r="X74" s="1"/>
    </row>
    <row r="75" spans="1:24" ht="17" x14ac:dyDescent="0.2">
      <c r="B75" s="1" t="s">
        <v>162</v>
      </c>
      <c r="D75" s="1">
        <f>E75/7*C4</f>
        <v>0.94500000000000006</v>
      </c>
      <c r="E75" s="1">
        <v>6.125</v>
      </c>
      <c r="G75" s="31">
        <f>'Price list REWE '!E72</f>
        <v>8.98</v>
      </c>
      <c r="H75" s="31">
        <f>G75/1000*D75</f>
        <v>8.4860999999999999E-3</v>
      </c>
      <c r="J75" s="42">
        <f>'Price list REWE '!H72</f>
        <v>29.9</v>
      </c>
      <c r="K75" s="42">
        <f>J75/1000*D75</f>
        <v>2.8255500000000003E-2</v>
      </c>
      <c r="M75" s="31">
        <f>'Price list ALDI Süd'!E72</f>
        <v>8.98</v>
      </c>
      <c r="N75" s="31">
        <f>M75/1000*D75</f>
        <v>8.4860999999999999E-3</v>
      </c>
      <c r="P75" s="42">
        <f>'Price list ALDI Süd'!H72</f>
        <v>17.96</v>
      </c>
      <c r="Q75" s="42">
        <f>P75/1000*D75</f>
        <v>1.69722E-2</v>
      </c>
    </row>
    <row r="76" spans="1:24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24" s="4" customFormat="1" ht="17" x14ac:dyDescent="0.2">
      <c r="A77" s="12"/>
      <c r="B77" s="12" t="s">
        <v>165</v>
      </c>
      <c r="D77" s="4">
        <f>E77/7*C4</f>
        <v>3.915</v>
      </c>
      <c r="E77" s="4">
        <v>25.375</v>
      </c>
      <c r="F77" s="4">
        <f>62*C4</f>
        <v>66.960000000000008</v>
      </c>
      <c r="R77" s="1"/>
      <c r="S77" s="1"/>
      <c r="T77" s="1"/>
      <c r="U77" s="1"/>
      <c r="V77" s="1"/>
      <c r="W77" s="1"/>
      <c r="X77" s="1"/>
    </row>
    <row r="78" spans="1:24" ht="17" x14ac:dyDescent="0.2">
      <c r="B78" s="1" t="s">
        <v>166</v>
      </c>
      <c r="D78" s="1">
        <f>E78/7*C4</f>
        <v>3.915</v>
      </c>
      <c r="E78" s="1">
        <v>25.375</v>
      </c>
      <c r="G78" s="31">
        <f>'Price list REWE '!E75</f>
        <v>9.98</v>
      </c>
      <c r="H78" s="31">
        <f>G78/1000*D78</f>
        <v>3.9071700000000008E-2</v>
      </c>
      <c r="J78" s="42">
        <f>'Price list REWE '!H75</f>
        <v>34.9</v>
      </c>
      <c r="K78" s="42">
        <f>J78/1000*D78</f>
        <v>0.13663349999999999</v>
      </c>
      <c r="M78" s="31">
        <f>'Price list ALDI Süd'!E75</f>
        <v>9.98</v>
      </c>
      <c r="N78" s="31">
        <f>M78/1000*D78</f>
        <v>3.9071700000000008E-2</v>
      </c>
      <c r="P78" s="42">
        <f>'Price list ALDI Süd'!H75</f>
        <v>24.99</v>
      </c>
      <c r="Q78" s="42">
        <f>P78/1000*D78</f>
        <v>9.7835849999999988E-2</v>
      </c>
    </row>
    <row r="79" spans="1:24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24" s="4" customFormat="1" ht="17" x14ac:dyDescent="0.2">
      <c r="A80" s="12"/>
      <c r="B80" s="12" t="s">
        <v>169</v>
      </c>
      <c r="D80" s="4">
        <f>13*C4</f>
        <v>14.040000000000001</v>
      </c>
      <c r="E80" s="4">
        <f>D80*E10</f>
        <v>98.28</v>
      </c>
      <c r="F80" s="4">
        <f>19*C4</f>
        <v>20.520000000000003</v>
      </c>
      <c r="R80" s="1"/>
      <c r="S80" s="1"/>
      <c r="T80" s="1"/>
      <c r="U80" s="1"/>
      <c r="V80" s="1"/>
      <c r="W80" s="1"/>
      <c r="X80" s="1"/>
    </row>
    <row r="81" spans="1:24" ht="17" x14ac:dyDescent="0.2">
      <c r="A81" s="1"/>
      <c r="B81" s="1" t="s">
        <v>170</v>
      </c>
      <c r="D81" s="1">
        <f>13*C4</f>
        <v>14.040000000000001</v>
      </c>
      <c r="E81" s="1">
        <v>91</v>
      </c>
      <c r="G81" s="31">
        <f>'Price list REWE '!E78</f>
        <v>3.98</v>
      </c>
      <c r="H81" s="31">
        <f>G81/1000*D81</f>
        <v>5.5879200000000004E-2</v>
      </c>
      <c r="J81" s="42">
        <f>'Price list REWE '!H78</f>
        <v>7.9666666666666677</v>
      </c>
      <c r="K81" s="42">
        <f>J81/1000*D81</f>
        <v>0.11185200000000001</v>
      </c>
      <c r="M81" s="31">
        <f>'Price list ALDI Süd'!E78</f>
        <v>3.98</v>
      </c>
      <c r="N81" s="31">
        <f>M81/1000*D81</f>
        <v>5.5879200000000004E-2</v>
      </c>
      <c r="P81" s="42">
        <f>'Price list ALDI Süd'!H78</f>
        <v>6.38</v>
      </c>
      <c r="Q81" s="42">
        <f>P81/1000*D81</f>
        <v>8.9575200000000008E-2</v>
      </c>
    </row>
    <row r="82" spans="1:24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24" s="4" customFormat="1" ht="17" x14ac:dyDescent="0.2">
      <c r="A83" s="12"/>
      <c r="B83" s="12" t="s">
        <v>409</v>
      </c>
      <c r="D83" s="4">
        <f>E83/7*C4</f>
        <v>3.7800000000000002</v>
      </c>
      <c r="E83" s="4">
        <v>24.5</v>
      </c>
      <c r="F83" s="4">
        <f>40*C4</f>
        <v>43.2</v>
      </c>
      <c r="R83" s="1"/>
      <c r="S83" s="1"/>
      <c r="T83" s="1"/>
      <c r="U83" s="1"/>
      <c r="V83" s="1"/>
      <c r="W83" s="1"/>
      <c r="X83" s="1"/>
    </row>
    <row r="84" spans="1:24" ht="17" x14ac:dyDescent="0.2">
      <c r="B84" s="1" t="s">
        <v>174</v>
      </c>
      <c r="D84" s="1">
        <f>D83/3</f>
        <v>1.26</v>
      </c>
      <c r="E84" s="1">
        <f>D84*7</f>
        <v>8.82</v>
      </c>
      <c r="G84" s="31">
        <f>'Price list REWE '!E81</f>
        <v>23.96</v>
      </c>
      <c r="H84" s="31">
        <f>G84/1000*D84</f>
        <v>3.0189600000000004E-2</v>
      </c>
      <c r="J84" s="42">
        <f>'Price list REWE '!H81</f>
        <v>31.96</v>
      </c>
      <c r="K84" s="42">
        <f>J84/1000*D84</f>
        <v>4.0269600000000003E-2</v>
      </c>
      <c r="M84" s="31">
        <f>'Price list ALDI Süd'!E81</f>
        <v>23.96</v>
      </c>
      <c r="N84" s="31">
        <f>M84/1000*D84</f>
        <v>3.0189600000000004E-2</v>
      </c>
      <c r="P84" s="42">
        <f>'Price list ALDI Süd'!H81</f>
        <v>31.96</v>
      </c>
      <c r="Q84" s="42">
        <f>P84/1000*D84</f>
        <v>4.0269600000000003E-2</v>
      </c>
    </row>
    <row r="85" spans="1:24" ht="17" x14ac:dyDescent="0.2">
      <c r="B85" s="1" t="s">
        <v>177</v>
      </c>
      <c r="D85" s="1">
        <f>D83/3</f>
        <v>1.26</v>
      </c>
      <c r="E85" s="1">
        <f>D85*7</f>
        <v>8.82</v>
      </c>
      <c r="G85" s="31">
        <f>'Price list REWE '!E82</f>
        <v>7.49</v>
      </c>
      <c r="H85" s="31">
        <f>G85/1000*D85</f>
        <v>9.4374000000000003E-3</v>
      </c>
      <c r="J85" s="42">
        <f>'Price list REWE '!H82</f>
        <v>7.49</v>
      </c>
      <c r="K85" s="42">
        <f>J85/1000*D85</f>
        <v>9.4374000000000003E-3</v>
      </c>
      <c r="M85" s="31">
        <f>'Price list ALDI Süd'!E82</f>
        <v>7.49</v>
      </c>
      <c r="N85" s="31">
        <f>M85/1000*D85</f>
        <v>9.4374000000000003E-3</v>
      </c>
      <c r="P85" s="42">
        <f>'Price list ALDI Süd'!H82</f>
        <v>7.49</v>
      </c>
      <c r="Q85" s="42">
        <f>P85/1000*D85</f>
        <v>9.4374000000000003E-3</v>
      </c>
    </row>
    <row r="86" spans="1:24" ht="17" x14ac:dyDescent="0.2">
      <c r="B86" s="1" t="s">
        <v>179</v>
      </c>
      <c r="D86" s="1">
        <f>D83/3</f>
        <v>1.26</v>
      </c>
      <c r="E86" s="1">
        <f>D86*7</f>
        <v>8.82</v>
      </c>
      <c r="G86" s="31">
        <f>'Price list REWE '!E83</f>
        <v>7.6410256410256414</v>
      </c>
      <c r="H86" s="31">
        <f>G86/1000*D86</f>
        <v>9.6276923076923076E-3</v>
      </c>
      <c r="J86" s="42">
        <f>'Price list REWE '!H83</f>
        <v>20.5625</v>
      </c>
      <c r="K86" s="42">
        <f>J86/1000*D86</f>
        <v>2.5908750000000001E-2</v>
      </c>
      <c r="M86" s="31">
        <f>'Price list ALDI Süd'!E83</f>
        <v>7.6410256410256414</v>
      </c>
      <c r="N86" s="31">
        <f>M86/1000*D86</f>
        <v>9.6276923076923076E-3</v>
      </c>
      <c r="P86" s="42">
        <f>'Price list ALDI Süd'!H83</f>
        <v>20.5625</v>
      </c>
      <c r="Q86" s="42">
        <f>P86/1000*D86</f>
        <v>2.5908750000000001E-2</v>
      </c>
    </row>
    <row r="87" spans="1:24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24" s="4" customFormat="1" ht="17" x14ac:dyDescent="0.2">
      <c r="A88" s="12"/>
      <c r="B88" s="12" t="s">
        <v>411</v>
      </c>
      <c r="D88" s="4">
        <f>E88/7*C4</f>
        <v>65.571428571428584</v>
      </c>
      <c r="E88" s="4">
        <f>350+50+25</f>
        <v>425</v>
      </c>
      <c r="F88" s="4">
        <f>172*C4</f>
        <v>185.76000000000002</v>
      </c>
      <c r="R88" s="1"/>
      <c r="S88" s="1"/>
      <c r="T88" s="1"/>
      <c r="U88" s="1"/>
      <c r="V88" s="1"/>
      <c r="W88" s="1"/>
      <c r="X88" s="1"/>
    </row>
    <row r="89" spans="1:24" ht="17" x14ac:dyDescent="0.2">
      <c r="B89" s="1" t="s">
        <v>183</v>
      </c>
      <c r="D89" s="1">
        <f t="shared" ref="D89:D94" si="25">$D$88/6</f>
        <v>10.928571428571431</v>
      </c>
      <c r="E89" s="1">
        <f t="shared" ref="E89:E94" si="26">D89*$E$10</f>
        <v>76.500000000000014</v>
      </c>
      <c r="G89" s="31">
        <f>'Price list REWE '!E86</f>
        <v>4.58</v>
      </c>
      <c r="H89" s="31">
        <f t="shared" ref="H89:H94" si="27">G89/1000*D89</f>
        <v>5.0052857142857149E-2</v>
      </c>
      <c r="J89" s="42">
        <f>'Price list REWE '!H86</f>
        <v>3.3</v>
      </c>
      <c r="K89" s="42">
        <f t="shared" ref="K89:K94" si="28">J89/1000*D89</f>
        <v>3.6064285714285722E-2</v>
      </c>
      <c r="M89" s="31">
        <f>'Price list ALDI Süd'!E86</f>
        <v>3.98</v>
      </c>
      <c r="N89" s="31">
        <f t="shared" ref="N89:N94" si="29">M89/1000*D89</f>
        <v>4.3495714285714297E-2</v>
      </c>
      <c r="P89" s="42">
        <f>'Price list ALDI Süd'!H86</f>
        <v>3.3</v>
      </c>
      <c r="Q89" s="42">
        <f t="shared" ref="Q89:Q94" si="30">P89/1000*D89</f>
        <v>3.6064285714285722E-2</v>
      </c>
    </row>
    <row r="90" spans="1:24" ht="17" x14ac:dyDescent="0.2">
      <c r="B90" s="1" t="s">
        <v>186</v>
      </c>
      <c r="D90" s="1">
        <f t="shared" si="25"/>
        <v>10.928571428571431</v>
      </c>
      <c r="E90" s="1">
        <f t="shared" si="26"/>
        <v>76.500000000000014</v>
      </c>
      <c r="G90" s="31">
        <f>'Price list REWE '!E87</f>
        <v>2.9749999999999996</v>
      </c>
      <c r="H90" s="31">
        <f t="shared" si="27"/>
        <v>3.2512500000000007E-2</v>
      </c>
      <c r="J90" s="42">
        <f>'Price list REWE '!H87</f>
        <v>3.5833333333333335</v>
      </c>
      <c r="K90" s="42">
        <f t="shared" si="28"/>
        <v>3.9160714285714292E-2</v>
      </c>
      <c r="M90" s="31">
        <f>'Price list ALDI Süd'!E87</f>
        <v>2.9749999999999996</v>
      </c>
      <c r="N90" s="31">
        <f t="shared" si="29"/>
        <v>3.2512500000000007E-2</v>
      </c>
      <c r="P90" s="42">
        <f>'Price list ALDI Süd'!H87</f>
        <v>3.5833333333333335</v>
      </c>
      <c r="Q90" s="42">
        <f t="shared" si="30"/>
        <v>3.9160714285714292E-2</v>
      </c>
    </row>
    <row r="91" spans="1:24" ht="17" x14ac:dyDescent="0.2">
      <c r="B91" s="1" t="s">
        <v>189</v>
      </c>
      <c r="D91" s="1">
        <f t="shared" si="25"/>
        <v>10.928571428571431</v>
      </c>
      <c r="E91" s="1">
        <f t="shared" si="26"/>
        <v>76.500000000000014</v>
      </c>
      <c r="G91" s="31">
        <f>'Price list REWE '!E88</f>
        <v>1.7249999999999999</v>
      </c>
      <c r="H91" s="31">
        <f t="shared" si="27"/>
        <v>1.8851785714285717E-2</v>
      </c>
      <c r="J91" s="42">
        <f>'Price list REWE '!H88</f>
        <v>2.75</v>
      </c>
      <c r="K91" s="42">
        <f t="shared" si="28"/>
        <v>3.0053571428571433E-2</v>
      </c>
      <c r="M91" s="31">
        <f>'Price list ALDI Süd'!E88</f>
        <v>1.7249999999999999</v>
      </c>
      <c r="N91" s="31">
        <f t="shared" si="29"/>
        <v>1.8851785714285717E-2</v>
      </c>
      <c r="P91" s="42">
        <f>'Price list ALDI Süd'!H88</f>
        <v>2.75</v>
      </c>
      <c r="Q91" s="42">
        <f t="shared" si="30"/>
        <v>3.0053571428571433E-2</v>
      </c>
    </row>
    <row r="92" spans="1:24" ht="17" x14ac:dyDescent="0.2">
      <c r="B92" s="1" t="s">
        <v>192</v>
      </c>
      <c r="D92" s="1">
        <f t="shared" si="25"/>
        <v>10.928571428571431</v>
      </c>
      <c r="E92" s="1">
        <f t="shared" si="26"/>
        <v>76.500000000000014</v>
      </c>
      <c r="G92" s="31">
        <f>'Price list REWE '!E89</f>
        <v>1.99</v>
      </c>
      <c r="H92" s="31">
        <f t="shared" si="27"/>
        <v>2.1747857142857149E-2</v>
      </c>
      <c r="J92" s="42">
        <f>'Price list REWE '!H89</f>
        <v>3.98</v>
      </c>
      <c r="K92" s="42">
        <f t="shared" si="28"/>
        <v>4.3495714285714297E-2</v>
      </c>
      <c r="M92" s="31">
        <f>'Price list ALDI Süd'!E89</f>
        <v>1.99</v>
      </c>
      <c r="N92" s="31">
        <f t="shared" si="29"/>
        <v>2.1747857142857149E-2</v>
      </c>
      <c r="P92" s="42">
        <f>'Price list ALDI Süd'!H89</f>
        <v>3.32</v>
      </c>
      <c r="Q92" s="42">
        <f t="shared" si="30"/>
        <v>3.6282857142857151E-2</v>
      </c>
    </row>
    <row r="93" spans="1:24" ht="17" x14ac:dyDescent="0.2">
      <c r="B93" s="1" t="s">
        <v>622</v>
      </c>
      <c r="D93" s="1">
        <f t="shared" si="25"/>
        <v>10.928571428571431</v>
      </c>
      <c r="E93" s="1">
        <f t="shared" si="26"/>
        <v>76.500000000000014</v>
      </c>
      <c r="G93" s="31">
        <f>'Price list REWE '!E90</f>
        <v>1.7249999999999999</v>
      </c>
      <c r="H93" s="31">
        <f t="shared" si="27"/>
        <v>1.8851785714285717E-2</v>
      </c>
      <c r="J93" s="42">
        <f>'Price list REWE '!H90</f>
        <v>3</v>
      </c>
      <c r="K93" s="42">
        <f t="shared" si="28"/>
        <v>3.2785714285714293E-2</v>
      </c>
      <c r="M93" s="31">
        <f>'Price list ALDI Süd'!E90</f>
        <v>1.7249999999999999</v>
      </c>
      <c r="N93" s="31">
        <f t="shared" si="29"/>
        <v>1.8851785714285717E-2</v>
      </c>
      <c r="P93" s="42">
        <f>'Price list ALDI Süd'!H90</f>
        <v>2.75</v>
      </c>
      <c r="Q93" s="42">
        <f t="shared" si="30"/>
        <v>3.0053571428571433E-2</v>
      </c>
    </row>
    <row r="94" spans="1:24" ht="17" x14ac:dyDescent="0.2">
      <c r="A94" s="1"/>
      <c r="B94" s="1" t="s">
        <v>623</v>
      </c>
      <c r="D94" s="1">
        <f t="shared" si="25"/>
        <v>10.928571428571431</v>
      </c>
      <c r="E94" s="1">
        <f t="shared" si="26"/>
        <v>76.500000000000014</v>
      </c>
      <c r="G94" s="31">
        <f>'Price list REWE '!E91</f>
        <v>2.0441176470588234</v>
      </c>
      <c r="H94" s="31">
        <f t="shared" si="27"/>
        <v>2.2339285714285718E-2</v>
      </c>
      <c r="J94" s="42">
        <f>'Price list REWE '!H91</f>
        <v>2.0441176470588234</v>
      </c>
      <c r="K94" s="42">
        <f t="shared" si="28"/>
        <v>2.2339285714285718E-2</v>
      </c>
      <c r="M94" s="31">
        <f>'Price list ALDI Süd'!E91</f>
        <v>3.3559322033898304</v>
      </c>
      <c r="N94" s="31">
        <f t="shared" si="29"/>
        <v>3.6675544794188865E-2</v>
      </c>
      <c r="P94" s="42">
        <f>'Price list ALDI Süd'!H91</f>
        <v>3.3559322033898304</v>
      </c>
      <c r="Q94" s="42">
        <f t="shared" si="30"/>
        <v>3.6675544794188865E-2</v>
      </c>
    </row>
    <row r="95" spans="1:24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24" s="4" customFormat="1" ht="17" x14ac:dyDescent="0.2">
      <c r="A96" s="12"/>
      <c r="B96" s="12" t="s">
        <v>200</v>
      </c>
      <c r="D96" s="4">
        <f>E96/7*C4</f>
        <v>45.51428571428572</v>
      </c>
      <c r="E96" s="4">
        <f>175+60+60</f>
        <v>295</v>
      </c>
      <c r="F96" s="4">
        <f>112*C4</f>
        <v>120.96000000000001</v>
      </c>
      <c r="R96" s="1"/>
      <c r="S96" s="1"/>
      <c r="T96" s="1"/>
      <c r="U96" s="1"/>
      <c r="V96" s="1"/>
      <c r="W96" s="1"/>
      <c r="X96" s="1"/>
    </row>
    <row r="97" spans="1:24" ht="17" x14ac:dyDescent="0.2">
      <c r="B97" s="1" t="s">
        <v>201</v>
      </c>
      <c r="D97" s="1">
        <f>D96/2</f>
        <v>22.75714285714286</v>
      </c>
      <c r="E97" s="1">
        <f>D97*7</f>
        <v>159.30000000000001</v>
      </c>
      <c r="G97" s="31">
        <f>'Price list REWE '!E94</f>
        <v>5.48</v>
      </c>
      <c r="H97" s="31">
        <f>G97/1000*D97</f>
        <v>0.12470914285714288</v>
      </c>
      <c r="J97" s="42">
        <f>'Price list REWE '!H94</f>
        <v>5.48</v>
      </c>
      <c r="K97" s="42">
        <f>J97/1000*D97</f>
        <v>0.12470914285714288</v>
      </c>
      <c r="M97" s="31">
        <f>'Price list ALDI Süd'!E94</f>
        <v>5.48</v>
      </c>
      <c r="N97" s="31">
        <f>M97/1000*D97</f>
        <v>0.12470914285714288</v>
      </c>
      <c r="P97" s="42">
        <f>'Price list ALDI Süd'!H94</f>
        <v>5.48</v>
      </c>
      <c r="Q97" s="42">
        <f>P97/1000*D97</f>
        <v>0.12470914285714288</v>
      </c>
    </row>
    <row r="98" spans="1:24" ht="17" x14ac:dyDescent="0.2">
      <c r="B98" s="1" t="s">
        <v>203</v>
      </c>
      <c r="D98" s="1">
        <f>D96/2</f>
        <v>22.75714285714286</v>
      </c>
      <c r="E98" s="1">
        <f>D98*7</f>
        <v>159.30000000000001</v>
      </c>
      <c r="G98" s="31">
        <f>'Price list REWE '!E95</f>
        <v>6.26</v>
      </c>
      <c r="H98" s="31">
        <f>G98/1000*D98</f>
        <v>0.1424597142857143</v>
      </c>
      <c r="J98" s="42">
        <f>'Price list REWE '!H95</f>
        <v>6.26</v>
      </c>
      <c r="K98" s="42">
        <f>J98/1000*D98</f>
        <v>0.1424597142857143</v>
      </c>
      <c r="M98" s="31">
        <f>'Price list ALDI Süd'!E95</f>
        <v>6.26</v>
      </c>
      <c r="N98" s="31">
        <f>M98/1000*D98</f>
        <v>0.1424597142857143</v>
      </c>
      <c r="P98" s="42">
        <f>'Price list ALDI Süd'!H95</f>
        <v>6.26</v>
      </c>
      <c r="Q98" s="42">
        <f>P98/1000*D98</f>
        <v>0.1424597142857143</v>
      </c>
    </row>
    <row r="99" spans="1:24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24" s="4" customFormat="1" ht="17" x14ac:dyDescent="0.2">
      <c r="A100" s="12"/>
      <c r="B100" s="12" t="s">
        <v>205</v>
      </c>
      <c r="R100" s="1"/>
      <c r="S100" s="1"/>
      <c r="T100" s="1"/>
      <c r="U100" s="1"/>
      <c r="V100" s="1"/>
      <c r="W100" s="1"/>
      <c r="X100" s="1"/>
    </row>
    <row r="101" spans="1:24" s="4" customFormat="1" ht="17" x14ac:dyDescent="0.2">
      <c r="A101" s="12"/>
      <c r="B101" s="12" t="s">
        <v>206</v>
      </c>
      <c r="F101" s="4">
        <f>142*C4</f>
        <v>153.36000000000001</v>
      </c>
      <c r="R101" s="1"/>
      <c r="S101" s="1"/>
      <c r="T101" s="1"/>
      <c r="U101" s="1"/>
      <c r="V101" s="1"/>
      <c r="W101" s="1"/>
      <c r="X101" s="1"/>
    </row>
    <row r="102" spans="1:24" ht="17" x14ac:dyDescent="0.2">
      <c r="B102" s="1" t="s">
        <v>207</v>
      </c>
      <c r="D102" s="1">
        <f>25*C4</f>
        <v>27</v>
      </c>
      <c r="E102" s="1">
        <f>D102*E10</f>
        <v>189</v>
      </c>
      <c r="G102" s="31">
        <f>'Price list REWE '!E99</f>
        <v>4.9800000000000004</v>
      </c>
      <c r="H102" s="31">
        <f>G102/1000*D102</f>
        <v>0.13446</v>
      </c>
      <c r="J102" s="42">
        <f>'Price list REWE '!H99</f>
        <v>4.9800000000000004</v>
      </c>
      <c r="K102" s="42">
        <f>J102/1000*D102</f>
        <v>0.13446</v>
      </c>
      <c r="M102" s="31">
        <f>'Price list ALDI Süd'!E99</f>
        <v>4.9800000000000004</v>
      </c>
      <c r="N102" s="31">
        <f>M102/1000*D102</f>
        <v>0.13446</v>
      </c>
      <c r="P102" s="42">
        <f>'Price list ALDI Süd'!H99</f>
        <v>4.9800000000000004</v>
      </c>
      <c r="Q102" s="42">
        <f>P102/1000*D102</f>
        <v>0.13446</v>
      </c>
    </row>
    <row r="103" spans="1:24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24" s="4" customFormat="1" ht="17" x14ac:dyDescent="0.2">
      <c r="A104" s="12"/>
      <c r="B104" s="12" t="s">
        <v>412</v>
      </c>
      <c r="D104" s="4">
        <f>25*C4</f>
        <v>27</v>
      </c>
      <c r="E104" s="8">
        <f>D104*7</f>
        <v>189</v>
      </c>
      <c r="F104" s="8">
        <f>149*C4</f>
        <v>160.92000000000002</v>
      </c>
      <c r="R104" s="1"/>
      <c r="S104" s="1"/>
      <c r="T104" s="1"/>
      <c r="U104" s="1"/>
      <c r="V104" s="1"/>
      <c r="W104" s="1"/>
      <c r="X104" s="1"/>
    </row>
    <row r="105" spans="1:24" ht="17" x14ac:dyDescent="0.2">
      <c r="B105" s="1" t="s">
        <v>210</v>
      </c>
      <c r="D105" s="7">
        <f>D104/2</f>
        <v>13.5</v>
      </c>
      <c r="E105" s="1">
        <f>D105*7</f>
        <v>94.5</v>
      </c>
      <c r="G105" s="31">
        <f>'Price list REWE '!E102</f>
        <v>11.45</v>
      </c>
      <c r="H105" s="31">
        <f>G105/1000*D105</f>
        <v>0.15457499999999999</v>
      </c>
      <c r="J105" s="42">
        <f>'Price list REWE '!H102</f>
        <v>17.95</v>
      </c>
      <c r="K105" s="42">
        <f>J105/1000*D105</f>
        <v>0.24232500000000001</v>
      </c>
      <c r="M105" s="31">
        <f>'Price list ALDI Süd'!E102</f>
        <v>11.45</v>
      </c>
      <c r="N105" s="31">
        <f>M105/1000*D105</f>
        <v>0.15457499999999999</v>
      </c>
      <c r="P105" s="42">
        <f>'Price list ALDI Süd'!H102</f>
        <v>14.75</v>
      </c>
      <c r="Q105" s="42">
        <f>P105/1000*D105</f>
        <v>0.199125</v>
      </c>
    </row>
    <row r="106" spans="1:24" ht="17" x14ac:dyDescent="0.2">
      <c r="B106" s="1" t="s">
        <v>213</v>
      </c>
      <c r="D106" s="7">
        <f>D104/2</f>
        <v>13.5</v>
      </c>
      <c r="E106" s="1">
        <f>D106*7</f>
        <v>94.5</v>
      </c>
      <c r="F106" s="7"/>
      <c r="G106" s="31">
        <f>'Price list REWE '!E103</f>
        <v>11.45</v>
      </c>
      <c r="H106" s="31">
        <f>G106/1000*D106</f>
        <v>0.15457499999999999</v>
      </c>
      <c r="J106" s="42">
        <f>'Price list REWE '!H103</f>
        <v>11.45</v>
      </c>
      <c r="K106" s="42">
        <f>J106/1000*D106</f>
        <v>0.15457499999999999</v>
      </c>
      <c r="M106" s="31">
        <f>'Price list ALDI Süd'!E103</f>
        <v>11.45</v>
      </c>
      <c r="N106" s="31">
        <f>M106/1000*D106</f>
        <v>0.15457499999999999</v>
      </c>
      <c r="P106" s="42">
        <f>'Price list ALDI Süd'!H103</f>
        <v>11.45</v>
      </c>
      <c r="Q106" s="42">
        <f>P106/1000*D106</f>
        <v>0.15457499999999999</v>
      </c>
    </row>
    <row r="107" spans="1:24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24" s="4" customFormat="1" ht="17" customHeight="1" x14ac:dyDescent="0.2">
      <c r="A108" s="12" t="s">
        <v>413</v>
      </c>
      <c r="D108" s="8">
        <f>6.8*C4</f>
        <v>7.3440000000000003</v>
      </c>
      <c r="E108" s="8">
        <f>D108*7</f>
        <v>51.408000000000001</v>
      </c>
      <c r="F108" s="8">
        <f>60*C4</f>
        <v>64.800000000000011</v>
      </c>
      <c r="R108" s="1"/>
      <c r="S108" s="1"/>
      <c r="T108" s="1"/>
      <c r="U108" s="1"/>
      <c r="V108" s="1"/>
      <c r="W108" s="1"/>
      <c r="X108" s="1"/>
    </row>
    <row r="109" spans="1:24" ht="17" x14ac:dyDescent="0.2">
      <c r="B109" s="1" t="s">
        <v>216</v>
      </c>
      <c r="D109" s="1">
        <f>D108</f>
        <v>7.3440000000000003</v>
      </c>
      <c r="E109" s="1">
        <f>D109*7</f>
        <v>51.408000000000001</v>
      </c>
      <c r="G109" s="31">
        <f>'Price list REWE '!E106</f>
        <v>2.98</v>
      </c>
      <c r="H109" s="31">
        <f>G109/1000*D109</f>
        <v>2.1885120000000001E-2</v>
      </c>
      <c r="J109" s="42">
        <f>'Price list REWE '!H106</f>
        <v>7.16</v>
      </c>
      <c r="K109" s="42">
        <f>J109/1000*D109</f>
        <v>5.2583040000000004E-2</v>
      </c>
      <c r="M109" s="31">
        <f>'Price list ALDI Süd'!E106</f>
        <v>3.38</v>
      </c>
      <c r="N109" s="31">
        <f>M109/1000*D109</f>
        <v>2.482272E-2</v>
      </c>
      <c r="P109" s="42">
        <f>'Price list ALDI Süd'!H106</f>
        <v>7.16</v>
      </c>
      <c r="Q109" s="42">
        <f>P109/1000*D109</f>
        <v>5.2583040000000004E-2</v>
      </c>
    </row>
    <row r="110" spans="1:24" x14ac:dyDescent="0.2">
      <c r="A110" s="9">
        <v>1</v>
      </c>
      <c r="G110" s="31"/>
      <c r="H110" s="31"/>
      <c r="J110" s="42"/>
      <c r="K110" s="42"/>
      <c r="M110" s="31"/>
      <c r="N110" s="31"/>
      <c r="P110" s="42"/>
      <c r="Q110" s="42"/>
    </row>
    <row r="111" spans="1:24" s="4" customFormat="1" ht="17" x14ac:dyDescent="0.2">
      <c r="A111" s="12"/>
      <c r="B111" s="12" t="s">
        <v>219</v>
      </c>
      <c r="D111" s="8">
        <f>40*C4</f>
        <v>43.2</v>
      </c>
      <c r="E111" s="8">
        <f>D111*7</f>
        <v>302.40000000000003</v>
      </c>
      <c r="F111" s="8">
        <f>354*C4</f>
        <v>382.32000000000005</v>
      </c>
      <c r="R111" s="1"/>
      <c r="S111" s="1"/>
      <c r="T111" s="1"/>
      <c r="U111" s="1"/>
      <c r="V111" s="1"/>
      <c r="W111" s="1"/>
      <c r="X111" s="1"/>
    </row>
    <row r="112" spans="1:24" ht="17" x14ac:dyDescent="0.2">
      <c r="B112" s="1" t="s">
        <v>220</v>
      </c>
      <c r="D112" s="1">
        <f>$D$111/3</f>
        <v>14.4</v>
      </c>
      <c r="E112" s="7">
        <f>D112*7</f>
        <v>100.8</v>
      </c>
      <c r="G112" s="31">
        <f>'Price list REWE '!E109</f>
        <v>3.78</v>
      </c>
      <c r="H112" s="31">
        <f>G112/1000*D112</f>
        <v>5.4432000000000001E-2</v>
      </c>
      <c r="J112" s="42">
        <f>'Price list REWE '!H109</f>
        <v>3.5</v>
      </c>
      <c r="K112" s="42">
        <f>J112/1000*D112</f>
        <v>5.04E-2</v>
      </c>
      <c r="M112" s="31">
        <f>'Price list ALDI Süd'!E109</f>
        <v>1.851</v>
      </c>
      <c r="N112" s="31">
        <f>M112/1000*D112</f>
        <v>2.6654400000000002E-2</v>
      </c>
      <c r="P112" s="42">
        <f>'Price list ALDI Süd'!H109</f>
        <v>3.7</v>
      </c>
      <c r="Q112" s="42">
        <f>P112/1000*D112</f>
        <v>5.3280000000000001E-2</v>
      </c>
    </row>
    <row r="113" spans="1:24" ht="17" x14ac:dyDescent="0.2">
      <c r="B113" s="1" t="s">
        <v>223</v>
      </c>
      <c r="D113" s="1">
        <f>$D$111/3</f>
        <v>14.4</v>
      </c>
      <c r="E113" s="1">
        <f>D113*7</f>
        <v>100.8</v>
      </c>
      <c r="G113" s="31">
        <f>'Price list REWE '!E110</f>
        <v>8.99</v>
      </c>
      <c r="H113" s="31">
        <f>G113/1000*D113</f>
        <v>0.12945599999999999</v>
      </c>
      <c r="J113" s="42">
        <f>'Price list REWE '!H110</f>
        <v>14.58</v>
      </c>
      <c r="K113" s="42">
        <f>J113/1000*D113</f>
        <v>0.209952</v>
      </c>
      <c r="M113" s="31">
        <f>'Price list ALDI Süd'!E110</f>
        <v>7.99</v>
      </c>
      <c r="N113" s="31">
        <f>M113/1000*D113</f>
        <v>0.11505600000000001</v>
      </c>
      <c r="P113" s="42">
        <f>'Price list ALDI Süd'!H110</f>
        <v>9.32</v>
      </c>
      <c r="Q113" s="42">
        <f>P113/1000*D113</f>
        <v>0.13420799999999999</v>
      </c>
    </row>
    <row r="114" spans="1:24" ht="17" x14ac:dyDescent="0.2">
      <c r="A114" s="1"/>
      <c r="B114" s="1" t="s">
        <v>226</v>
      </c>
      <c r="D114" s="1">
        <f>$D$111/3</f>
        <v>14.4</v>
      </c>
      <c r="E114" s="1">
        <f>D114*7</f>
        <v>100.8</v>
      </c>
      <c r="F114" s="7"/>
      <c r="G114" s="31">
        <f>'Price list REWE '!E111</f>
        <v>10.36</v>
      </c>
      <c r="H114" s="31">
        <f>G114/1000*D114</f>
        <v>0.14918399999999998</v>
      </c>
      <c r="J114" s="42">
        <f>'Price list REWE '!H111</f>
        <v>15.96</v>
      </c>
      <c r="K114" s="42">
        <f>J114/1000*D114</f>
        <v>0.22982400000000003</v>
      </c>
      <c r="M114" s="31">
        <f>'Price list ALDI Süd'!E111</f>
        <v>6.76</v>
      </c>
      <c r="N114" s="31">
        <f>M114/1000*D114</f>
        <v>9.7344E-2</v>
      </c>
      <c r="P114" s="42">
        <f>'Price list ALDI Süd'!H111</f>
        <v>6.76</v>
      </c>
      <c r="Q114" s="42">
        <f>P114/1000*D114</f>
        <v>9.7344E-2</v>
      </c>
    </row>
    <row r="115" spans="1:24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24" s="4" customFormat="1" ht="17" x14ac:dyDescent="0.2">
      <c r="A116" s="12"/>
      <c r="B116" s="12" t="s">
        <v>229</v>
      </c>
      <c r="D116" s="8"/>
      <c r="E116" s="8"/>
      <c r="F116" s="8">
        <f>36*C4</f>
        <v>38.880000000000003</v>
      </c>
      <c r="R116" s="1"/>
      <c r="S116" s="1"/>
      <c r="T116" s="1"/>
      <c r="U116" s="1"/>
      <c r="V116" s="1"/>
      <c r="W116" s="1"/>
      <c r="X116" s="1"/>
    </row>
    <row r="117" spans="1:24" ht="17" x14ac:dyDescent="0.2">
      <c r="B117" s="1" t="s">
        <v>230</v>
      </c>
      <c r="D117" s="7">
        <f>5*C4</f>
        <v>5.4</v>
      </c>
      <c r="E117" s="7">
        <f>D117*7</f>
        <v>37.800000000000004</v>
      </c>
      <c r="G117" s="31">
        <f>'Price list REWE '!E114</f>
        <v>5.8</v>
      </c>
      <c r="H117" s="31">
        <f>G117/1000*D117</f>
        <v>3.1320000000000001E-2</v>
      </c>
      <c r="J117" s="42">
        <f>'Price list REWE '!H114</f>
        <v>11.96</v>
      </c>
      <c r="K117" s="42">
        <f>J117/1000*D117</f>
        <v>6.4584000000000003E-2</v>
      </c>
      <c r="M117" s="31">
        <f>'Price list ALDI Süd'!E114</f>
        <v>5.8</v>
      </c>
      <c r="N117" s="31">
        <f>M117/1000*D117</f>
        <v>3.1320000000000001E-2</v>
      </c>
      <c r="P117" s="42">
        <f>'Price list ALDI Süd'!H114</f>
        <v>11.96</v>
      </c>
      <c r="Q117" s="42">
        <f>P117/1000*D117</f>
        <v>6.4584000000000003E-2</v>
      </c>
    </row>
    <row r="118" spans="1:24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24" s="4" customFormat="1" ht="19" customHeight="1" x14ac:dyDescent="0.2">
      <c r="A119" s="12" t="s">
        <v>414</v>
      </c>
      <c r="D119" s="4">
        <f>31*C4</f>
        <v>33.480000000000004</v>
      </c>
      <c r="E119" s="4">
        <f>D119*E10</f>
        <v>234.36</v>
      </c>
      <c r="F119" s="4">
        <f>120*C4</f>
        <v>129.60000000000002</v>
      </c>
      <c r="R119" s="1"/>
      <c r="S119" s="1"/>
      <c r="T119" s="1"/>
      <c r="U119" s="1"/>
      <c r="V119" s="1"/>
      <c r="W119" s="1"/>
      <c r="X119" s="1"/>
    </row>
    <row r="120" spans="1:24" ht="17" x14ac:dyDescent="0.2">
      <c r="A120" s="188"/>
      <c r="B120" s="1" t="s">
        <v>234</v>
      </c>
      <c r="D120" s="1">
        <f>D119/3</f>
        <v>11.160000000000002</v>
      </c>
      <c r="E120" s="1">
        <f>D120*7</f>
        <v>78.120000000000019</v>
      </c>
      <c r="G120" s="31">
        <f>'Price list REWE '!E117</f>
        <v>1.49</v>
      </c>
      <c r="H120" s="31">
        <f>G120/1000*D120</f>
        <v>1.6628400000000002E-2</v>
      </c>
      <c r="J120" s="42">
        <f>'Price list REWE '!H117</f>
        <v>2.59</v>
      </c>
      <c r="K120" s="42">
        <f>J120/1000*D120</f>
        <v>2.8904400000000004E-2</v>
      </c>
      <c r="M120" s="31">
        <f>'Price list ALDI Süd'!E117</f>
        <v>1.49</v>
      </c>
      <c r="N120" s="31">
        <f>M120/1000*D120</f>
        <v>1.6628400000000002E-2</v>
      </c>
      <c r="P120" s="42">
        <f>'Price list ALDI Süd'!H117</f>
        <v>2.59</v>
      </c>
      <c r="Q120" s="42">
        <f>P120/1000*D120</f>
        <v>2.8904400000000004E-2</v>
      </c>
    </row>
    <row r="121" spans="1:24" ht="17" x14ac:dyDescent="0.2">
      <c r="B121" s="1" t="s">
        <v>237</v>
      </c>
      <c r="D121" s="1">
        <f>D119/3</f>
        <v>11.160000000000002</v>
      </c>
      <c r="E121" s="1">
        <f>D121*7</f>
        <v>78.120000000000019</v>
      </c>
      <c r="G121" s="31">
        <f>'Price list REWE '!E118</f>
        <v>5.9</v>
      </c>
      <c r="H121" s="31">
        <f>G121/1000*D121</f>
        <v>6.5844000000000014E-2</v>
      </c>
      <c r="J121" s="42">
        <f>'Price list REWE '!H118</f>
        <v>12.9</v>
      </c>
      <c r="K121" s="42">
        <f>J121/1000*D121</f>
        <v>0.14396400000000004</v>
      </c>
      <c r="M121" s="31">
        <f>'Price list ALDI Süd'!E118</f>
        <v>5.9</v>
      </c>
      <c r="N121" s="31">
        <f>M121/1000*D121</f>
        <v>6.5844000000000014E-2</v>
      </c>
      <c r="P121" s="42">
        <f>'Price list ALDI Süd'!H118</f>
        <v>12.9</v>
      </c>
      <c r="Q121" s="42">
        <f>P121/1000*D121</f>
        <v>0.14396400000000004</v>
      </c>
    </row>
    <row r="122" spans="1:24" ht="17" x14ac:dyDescent="0.2">
      <c r="B122" s="252" t="s">
        <v>240</v>
      </c>
      <c r="D122" s="1">
        <f>D119/3</f>
        <v>11.160000000000002</v>
      </c>
      <c r="E122" s="1">
        <f>D122*7</f>
        <v>78.120000000000019</v>
      </c>
      <c r="G122" s="31">
        <f>'Price list REWE '!E119</f>
        <v>3.66</v>
      </c>
      <c r="H122" s="31">
        <f>G122/1000*D122</f>
        <v>4.084560000000001E-2</v>
      </c>
      <c r="J122" s="42">
        <f>'Price list REWE '!H119</f>
        <v>14.9</v>
      </c>
      <c r="K122" s="42">
        <f>J122/1000*D122</f>
        <v>0.16628400000000004</v>
      </c>
      <c r="M122" s="31">
        <f>'Price list ALDI Süd'!E119</f>
        <v>3.96</v>
      </c>
      <c r="N122" s="31">
        <f>M122/1000*D122</f>
        <v>4.4193600000000006E-2</v>
      </c>
      <c r="P122" s="42">
        <f>'Price list ALDI Süd'!H119</f>
        <v>9.4499999999999993</v>
      </c>
      <c r="Q122" s="42">
        <f>P122/1000*D122</f>
        <v>0.10546200000000001</v>
      </c>
    </row>
    <row r="123" spans="1:24" x14ac:dyDescent="0.2">
      <c r="A123" s="9">
        <v>3</v>
      </c>
      <c r="G123" s="31"/>
      <c r="H123" s="31"/>
      <c r="J123" s="42"/>
      <c r="K123" s="42"/>
      <c r="M123" s="31"/>
      <c r="N123" s="31"/>
      <c r="P123" s="42"/>
      <c r="Q123" s="42"/>
    </row>
    <row r="124" spans="1:24" s="4" customFormat="1" ht="17" x14ac:dyDescent="0.2">
      <c r="A124" s="12" t="s">
        <v>615</v>
      </c>
      <c r="D124" s="4">
        <f>1500*C4</f>
        <v>1620</v>
      </c>
      <c r="E124" s="4">
        <f>D124*E10</f>
        <v>11340</v>
      </c>
      <c r="R124" s="1"/>
      <c r="S124" s="1"/>
      <c r="T124" s="1"/>
      <c r="U124" s="1"/>
      <c r="V124" s="1"/>
      <c r="W124" s="1"/>
      <c r="X124" s="1"/>
    </row>
    <row r="125" spans="1:24" ht="17" x14ac:dyDescent="0.2">
      <c r="B125" s="1" t="s">
        <v>415</v>
      </c>
      <c r="D125" s="1">
        <f>D124-D126-D127</f>
        <v>1220</v>
      </c>
      <c r="E125" s="1">
        <f>D125*7</f>
        <v>8540</v>
      </c>
      <c r="G125" s="31">
        <f>'Price list REWE '!E122</f>
        <v>0.18</v>
      </c>
      <c r="H125" s="31">
        <f>G125/1000*D125</f>
        <v>0.21959999999999999</v>
      </c>
      <c r="J125" s="42">
        <f>'Price list REWE '!H122</f>
        <v>0.18</v>
      </c>
      <c r="K125" s="42">
        <f>J125/1000*D125</f>
        <v>0.21959999999999999</v>
      </c>
      <c r="M125" s="31">
        <f>'Price list ALDI Süd'!E122</f>
        <v>0.18</v>
      </c>
      <c r="N125" s="31">
        <f>M125/1000*D125</f>
        <v>0.21959999999999999</v>
      </c>
      <c r="P125" s="42">
        <f>'Price list ALDI Süd'!H122</f>
        <v>0.18</v>
      </c>
      <c r="Q125" s="42">
        <f>P125/1000*D125</f>
        <v>0.21959999999999999</v>
      </c>
    </row>
    <row r="126" spans="1:24" ht="17" x14ac:dyDescent="0.2">
      <c r="B126" s="1" t="s">
        <v>416</v>
      </c>
      <c r="D126" s="1">
        <v>200</v>
      </c>
      <c r="E126" s="1">
        <f>D126*7</f>
        <v>1400</v>
      </c>
      <c r="G126" s="31">
        <f>'Price list REWE '!E123</f>
        <v>6.98</v>
      </c>
      <c r="H126" s="31">
        <f>G126/1000*12</f>
        <v>8.3760000000000001E-2</v>
      </c>
      <c r="J126" s="42">
        <f>'Price list REWE '!H123</f>
        <v>11.98</v>
      </c>
      <c r="K126" s="42">
        <f>J126/1000*12</f>
        <v>0.14376</v>
      </c>
      <c r="M126" s="31">
        <f>'Price list ALDI Süd'!E123</f>
        <v>7.98</v>
      </c>
      <c r="N126" s="31">
        <f>M126/1000*12</f>
        <v>9.5760000000000012E-2</v>
      </c>
      <c r="P126" s="42">
        <f>'Price list ALDI Süd'!H123</f>
        <v>11.38</v>
      </c>
      <c r="Q126" s="42">
        <f>P126/1000*12</f>
        <v>0.13656000000000001</v>
      </c>
    </row>
    <row r="127" spans="1:24" ht="17" x14ac:dyDescent="0.2">
      <c r="B127" s="1" t="s">
        <v>417</v>
      </c>
      <c r="D127" s="1">
        <v>200</v>
      </c>
      <c r="E127" s="1">
        <f>D127*7</f>
        <v>1400</v>
      </c>
      <c r="G127" s="31">
        <f>'Price list REWE '!E124</f>
        <v>12.27</v>
      </c>
      <c r="H127" s="31">
        <f>G127/1000*(56/25)</f>
        <v>2.74848E-2</v>
      </c>
      <c r="J127" s="42">
        <f>'Price list REWE '!H124</f>
        <v>67.25</v>
      </c>
      <c r="K127" s="42">
        <f>J127/1000*(40/20)</f>
        <v>0.13450000000000001</v>
      </c>
      <c r="M127" s="31">
        <f>'Price list ALDI Süd'!E124</f>
        <v>12.27</v>
      </c>
      <c r="N127" s="31">
        <f>M127/1000*(56.25/25)</f>
        <v>2.76075E-2</v>
      </c>
      <c r="P127" s="42">
        <f>'Price list ALDI Süd'!H124</f>
        <v>67.25</v>
      </c>
      <c r="Q127" s="42">
        <f>P127/1000*(40/20)</f>
        <v>0.13450000000000001</v>
      </c>
    </row>
    <row r="128" spans="1:24" ht="17" x14ac:dyDescent="0.2">
      <c r="B128" s="1" t="s">
        <v>439</v>
      </c>
      <c r="D128" s="1">
        <f>E128/7</f>
        <v>47.142857142857146</v>
      </c>
      <c r="E128" s="1">
        <v>330</v>
      </c>
      <c r="G128" s="31">
        <f>'Price list REWE '!E125</f>
        <v>0.9</v>
      </c>
      <c r="H128" s="31">
        <f>G128/1000*D128</f>
        <v>4.2428571428571434E-2</v>
      </c>
      <c r="J128" s="42">
        <f>'Price list REWE '!H125</f>
        <v>2</v>
      </c>
      <c r="K128" s="42">
        <f>J128/1000*D128</f>
        <v>9.4285714285714292E-2</v>
      </c>
      <c r="M128" s="31">
        <f>'Price list ALDI Süd'!E125</f>
        <v>0.9</v>
      </c>
      <c r="N128" s="31">
        <f>M128/1000*D128</f>
        <v>4.2428571428571434E-2</v>
      </c>
      <c r="P128" s="42">
        <f>'Price list ALDI Süd'!H125</f>
        <v>2</v>
      </c>
      <c r="Q128" s="42">
        <f>P128/1000*D128</f>
        <v>9.4285714285714292E-2</v>
      </c>
    </row>
    <row r="129" spans="1:24" ht="17" x14ac:dyDescent="0.2">
      <c r="B129" s="1" t="s">
        <v>440</v>
      </c>
      <c r="D129" s="1">
        <f>E129/7</f>
        <v>35.714285714285715</v>
      </c>
      <c r="E129" s="1">
        <v>250</v>
      </c>
      <c r="G129" s="31">
        <f>'Price list REWE '!E126</f>
        <v>2.65</v>
      </c>
      <c r="H129" s="31">
        <f>G129/1000*D129</f>
        <v>9.464285714285714E-2</v>
      </c>
      <c r="J129" s="42">
        <f>'Price list REWE '!H126</f>
        <v>5.32</v>
      </c>
      <c r="K129" s="42">
        <f>J129/1000*D129</f>
        <v>0.19</v>
      </c>
      <c r="M129" s="31">
        <f>'Price list ALDI Süd'!E126</f>
        <v>2.92</v>
      </c>
      <c r="N129" s="31">
        <f>M129/1000*D129</f>
        <v>0.10428571428571429</v>
      </c>
      <c r="P129" s="42">
        <f>'Price list ALDI Süd'!H126</f>
        <v>3.45</v>
      </c>
      <c r="Q129" s="42">
        <f>P129/1000*D129</f>
        <v>0.12321428571428573</v>
      </c>
    </row>
    <row r="130" spans="1:24" x14ac:dyDescent="0.2">
      <c r="A130" s="9">
        <v>5</v>
      </c>
      <c r="G130" s="93"/>
    </row>
    <row r="131" spans="1:24" ht="19" customHeight="1" x14ac:dyDescent="0.2">
      <c r="A131" s="1"/>
    </row>
    <row r="132" spans="1:24" s="4" customFormat="1" ht="17" x14ac:dyDescent="0.2">
      <c r="A132" s="185" t="s">
        <v>431</v>
      </c>
      <c r="F132" s="12" t="s">
        <v>423</v>
      </c>
      <c r="G132" s="91"/>
      <c r="H132" s="185" t="s">
        <v>432</v>
      </c>
      <c r="I132" s="81"/>
      <c r="J132" s="81"/>
      <c r="K132" s="185" t="s">
        <v>432</v>
      </c>
      <c r="L132" s="220"/>
      <c r="M132" s="220"/>
      <c r="N132" s="185" t="s">
        <v>432</v>
      </c>
      <c r="O132" s="220"/>
      <c r="P132" s="220"/>
      <c r="Q132" s="185" t="s">
        <v>432</v>
      </c>
      <c r="R132" s="255"/>
      <c r="S132" s="92"/>
    </row>
    <row r="133" spans="1:24" ht="17" x14ac:dyDescent="0.2">
      <c r="A133" s="273">
        <f>A130+A123+A118+A115+A107+A103+A99+A95+A87+A82+A79+A76+A73+A70+A59+A47+A40+A20+A17+A32+A110</f>
        <v>75</v>
      </c>
      <c r="F133" s="1">
        <f>F119+F116+F111+F108+F104+F101+F96+F88+F83+F80+F77+F74+F71+F60+F48+F41+F33+F23+F18+F11</f>
        <v>2703.2400000000002</v>
      </c>
      <c r="G133" s="144"/>
      <c r="H133" s="23" t="s">
        <v>433</v>
      </c>
      <c r="I133" s="23"/>
      <c r="J133" s="23"/>
      <c r="K133" s="23" t="s">
        <v>433</v>
      </c>
      <c r="L133" s="23"/>
      <c r="M133" s="23"/>
      <c r="N133" s="23" t="s">
        <v>433</v>
      </c>
      <c r="O133" s="23"/>
      <c r="P133" s="23"/>
      <c r="Q133" s="23" t="s">
        <v>433</v>
      </c>
      <c r="R133" s="65"/>
    </row>
    <row r="134" spans="1:24" s="4" customFormat="1" x14ac:dyDescent="0.2">
      <c r="A134" s="9"/>
      <c r="B134" s="1"/>
      <c r="C134" s="1"/>
      <c r="D134" s="9"/>
      <c r="E134" s="9"/>
      <c r="F134" s="1"/>
      <c r="G134" s="86"/>
      <c r="H134" s="23">
        <f>SUM(H12:H129)</f>
        <v>4.7741494893424026</v>
      </c>
      <c r="I134" s="23"/>
      <c r="J134" s="23"/>
      <c r="K134" s="23">
        <f>SUM(K12:K129)</f>
        <v>7.1725667426523243</v>
      </c>
      <c r="L134" s="23"/>
      <c r="M134" s="23"/>
      <c r="N134" s="23">
        <f>SUM(N12:N129)</f>
        <v>4.6747232600877036</v>
      </c>
      <c r="O134" s="23"/>
      <c r="P134" s="23"/>
      <c r="Q134" s="23">
        <f>SUM(Q12:Q129)</f>
        <v>6.4193929028674122</v>
      </c>
      <c r="R134" s="65"/>
      <c r="S134" s="1"/>
      <c r="T134" s="1"/>
      <c r="U134" s="1"/>
      <c r="V134" s="1"/>
      <c r="W134" s="1"/>
      <c r="X134" s="1"/>
    </row>
    <row r="135" spans="1:24" x14ac:dyDescent="0.2">
      <c r="G135" s="86"/>
      <c r="H135" s="23"/>
      <c r="I135" s="84"/>
      <c r="J135" s="84"/>
      <c r="K135" s="84"/>
      <c r="L135" s="84"/>
      <c r="M135" s="84"/>
      <c r="N135" s="84"/>
      <c r="O135" s="84"/>
      <c r="P135" s="84"/>
      <c r="Q135" s="84"/>
      <c r="R135" s="65"/>
    </row>
    <row r="136" spans="1:24" ht="17" x14ac:dyDescent="0.2">
      <c r="G136" s="86"/>
      <c r="H136" s="84" t="s">
        <v>434</v>
      </c>
      <c r="I136" s="84"/>
      <c r="J136" s="84"/>
      <c r="K136" s="84" t="s">
        <v>434</v>
      </c>
      <c r="L136" s="84"/>
      <c r="M136" s="84"/>
      <c r="N136" s="84" t="s">
        <v>434</v>
      </c>
      <c r="O136" s="84"/>
      <c r="P136" s="84"/>
      <c r="Q136" s="84" t="s">
        <v>434</v>
      </c>
      <c r="R136" s="65"/>
    </row>
    <row r="137" spans="1:24" x14ac:dyDescent="0.2">
      <c r="G137" s="86"/>
      <c r="H137" s="84">
        <f>H134*30</f>
        <v>143.22448468027207</v>
      </c>
      <c r="I137" s="84"/>
      <c r="J137" s="84"/>
      <c r="K137" s="84">
        <f>K134*30</f>
        <v>215.17700227956973</v>
      </c>
      <c r="L137" s="84"/>
      <c r="M137" s="84"/>
      <c r="N137" s="84">
        <f>N134*30</f>
        <v>140.24169780263111</v>
      </c>
      <c r="O137" s="84"/>
      <c r="P137" s="84"/>
      <c r="Q137" s="84">
        <f>Q134*30</f>
        <v>192.58178708602236</v>
      </c>
      <c r="R137" s="65"/>
    </row>
    <row r="138" spans="1:24" x14ac:dyDescent="0.2">
      <c r="G138" s="86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65"/>
    </row>
  </sheetData>
  <mergeCells count="9">
    <mergeCell ref="A2:Q2"/>
    <mergeCell ref="G5:K6"/>
    <mergeCell ref="M5:Q6"/>
    <mergeCell ref="A1:Q1"/>
    <mergeCell ref="G7:H8"/>
    <mergeCell ref="J7:K8"/>
    <mergeCell ref="M7:N8"/>
    <mergeCell ref="P7:Q8"/>
    <mergeCell ref="A4:B4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F44DF-F0FB-1A48-80AE-6F266AA90482}">
  <sheetPr>
    <tabColor rgb="FFFF8AD8"/>
    <pageSetUpPr fitToPage="1"/>
  </sheetPr>
  <dimension ref="A1:X90"/>
  <sheetViews>
    <sheetView topLeftCell="M1" zoomScale="125" zoomScaleNormal="120" workbookViewId="0">
      <selection activeCell="G11" sqref="G11"/>
    </sheetView>
  </sheetViews>
  <sheetFormatPr baseColWidth="10" defaultColWidth="10.83203125" defaultRowHeight="16" x14ac:dyDescent="0.2"/>
  <cols>
    <col min="1" max="1" width="15.6640625" style="18" customWidth="1"/>
    <col min="2" max="2" width="11.6640625" style="18" bestFit="1" customWidth="1"/>
    <col min="3" max="3" width="13.1640625" style="18" customWidth="1"/>
    <col min="4" max="6" width="11.6640625" style="18" bestFit="1" customWidth="1"/>
    <col min="7" max="8" width="10.83203125" style="18"/>
    <col min="9" max="9" width="16.83203125" style="18" customWidth="1"/>
    <col min="10" max="10" width="14.1640625" style="18" customWidth="1"/>
    <col min="11" max="11" width="20.5" style="18" customWidth="1"/>
    <col min="12" max="12" width="16.5" style="18" customWidth="1"/>
    <col min="13" max="13" width="15.33203125" style="18" customWidth="1"/>
    <col min="14" max="14" width="10" style="18" customWidth="1"/>
    <col min="15" max="15" width="11.6640625" style="18" customWidth="1"/>
    <col min="16" max="16" width="14.1640625" style="18" customWidth="1"/>
    <col min="17" max="17" width="15.33203125" style="18" customWidth="1"/>
    <col min="18" max="18" width="15.5" style="18" customWidth="1"/>
    <col min="19" max="19" width="18.33203125" style="18" customWidth="1"/>
    <col min="20" max="20" width="13.5" style="18" customWidth="1"/>
    <col min="21" max="16384" width="10.83203125" style="18"/>
  </cols>
  <sheetData>
    <row r="1" spans="1:24" ht="19" x14ac:dyDescent="0.2">
      <c r="A1" s="446" t="s">
        <v>469</v>
      </c>
      <c r="B1" s="446"/>
      <c r="C1" s="446"/>
      <c r="D1" s="446"/>
      <c r="E1" s="446"/>
      <c r="F1" s="446"/>
      <c r="G1" s="446"/>
      <c r="H1" s="446"/>
      <c r="I1" s="446"/>
      <c r="K1" s="446" t="s">
        <v>470</v>
      </c>
      <c r="L1" s="446"/>
      <c r="M1" s="446"/>
      <c r="N1" s="446"/>
      <c r="O1" s="446"/>
      <c r="P1" s="446"/>
      <c r="Q1" s="283"/>
      <c r="R1" s="354"/>
      <c r="S1" s="354"/>
    </row>
    <row r="2" spans="1:24" x14ac:dyDescent="0.2">
      <c r="A2" s="24"/>
      <c r="N2" s="445" t="s">
        <v>471</v>
      </c>
      <c r="O2" s="445"/>
      <c r="P2" s="445" t="s">
        <v>472</v>
      </c>
      <c r="Q2" s="445"/>
    </row>
    <row r="3" spans="1:24" x14ac:dyDescent="0.2">
      <c r="A3" s="24" t="s">
        <v>504</v>
      </c>
      <c r="B3" s="24"/>
      <c r="C3" s="24"/>
      <c r="I3" s="449" t="s">
        <v>474</v>
      </c>
      <c r="J3" s="284"/>
      <c r="K3" s="28" t="s">
        <v>475</v>
      </c>
      <c r="L3" s="28" t="s">
        <v>476</v>
      </c>
      <c r="M3" s="28" t="s">
        <v>477</v>
      </c>
      <c r="R3" s="175"/>
    </row>
    <row r="4" spans="1:24" x14ac:dyDescent="0.2">
      <c r="B4" s="24"/>
      <c r="D4" s="24" t="s">
        <v>478</v>
      </c>
      <c r="E4" s="24" t="s">
        <v>479</v>
      </c>
      <c r="F4" s="24" t="s">
        <v>480</v>
      </c>
      <c r="G4" s="24" t="s">
        <v>481</v>
      </c>
      <c r="I4" s="449"/>
      <c r="J4" s="180"/>
      <c r="K4" s="448" t="s">
        <v>491</v>
      </c>
      <c r="L4" s="159" t="s">
        <v>483</v>
      </c>
      <c r="M4" s="154">
        <v>529</v>
      </c>
      <c r="N4" s="177"/>
      <c r="O4" s="358"/>
      <c r="P4" s="181"/>
      <c r="Q4" s="181"/>
    </row>
    <row r="5" spans="1:24" x14ac:dyDescent="0.2">
      <c r="A5" s="448" t="s">
        <v>484</v>
      </c>
      <c r="B5" s="448" t="s">
        <v>427</v>
      </c>
      <c r="C5" s="159" t="s">
        <v>483</v>
      </c>
      <c r="D5" s="157">
        <f>' H Girl'!$H$136</f>
        <v>117.1553821594872</v>
      </c>
      <c r="E5" s="152">
        <f>' H Boy'!$H$135</f>
        <v>128.77801157543587</v>
      </c>
      <c r="F5" s="152">
        <f>'H Mother'!$H$137</f>
        <v>127.32709572460436</v>
      </c>
      <c r="G5" s="152">
        <f>'H Father'!$H$137</f>
        <v>162.19498397245053</v>
      </c>
      <c r="I5" s="154">
        <f>SUM(D5:G5)</f>
        <v>535.45547343197791</v>
      </c>
      <c r="J5" s="179"/>
      <c r="K5" s="448"/>
      <c r="L5" s="160" t="s">
        <v>485</v>
      </c>
      <c r="M5" s="155">
        <v>830</v>
      </c>
      <c r="N5" s="176">
        <f>(M5-M4)/M4</f>
        <v>0.56899810964083175</v>
      </c>
      <c r="O5" s="352">
        <f>M5-M4</f>
        <v>301</v>
      </c>
      <c r="P5" s="181"/>
      <c r="Q5" s="181"/>
    </row>
    <row r="6" spans="1:24" ht="16" customHeight="1" x14ac:dyDescent="0.2">
      <c r="A6" s="448"/>
      <c r="B6" s="448"/>
      <c r="C6" s="160" t="s">
        <v>485</v>
      </c>
      <c r="D6" s="158">
        <f>' H Girl'!$K$136</f>
        <v>196.23095828676492</v>
      </c>
      <c r="E6" s="153">
        <f>' H Boy'!$K$135</f>
        <v>214.7333398297271</v>
      </c>
      <c r="F6" s="153">
        <f>'H Mother'!$K$137</f>
        <v>208.99137762967464</v>
      </c>
      <c r="G6" s="153">
        <f>'H Father'!$K$137</f>
        <v>264.49852225856125</v>
      </c>
      <c r="I6" s="155">
        <f>SUM(D6:G6)</f>
        <v>884.45419800472791</v>
      </c>
      <c r="J6" s="179"/>
      <c r="K6" s="69"/>
      <c r="L6" s="24"/>
      <c r="M6" s="156"/>
      <c r="N6" s="176"/>
      <c r="O6" s="352"/>
      <c r="P6" s="293" t="s">
        <v>486</v>
      </c>
      <c r="Q6" s="293"/>
      <c r="R6" s="74"/>
    </row>
    <row r="7" spans="1:24" x14ac:dyDescent="0.2">
      <c r="A7" s="448"/>
      <c r="B7" s="448" t="s">
        <v>428</v>
      </c>
      <c r="C7" s="159" t="s">
        <v>483</v>
      </c>
      <c r="D7" s="152">
        <f>' H Girl'!$N$136</f>
        <v>113.82462701252413</v>
      </c>
      <c r="E7" s="152">
        <f>' H Boy'!$N$135</f>
        <v>125.1134447137765</v>
      </c>
      <c r="F7" s="152">
        <f>'H Mother'!$N$137</f>
        <v>124.47503943457886</v>
      </c>
      <c r="G7" s="152">
        <f>'H Father'!$N$137</f>
        <v>158.34149253833613</v>
      </c>
      <c r="I7" s="154">
        <f t="shared" ref="I7:I8" si="0">SUM(D7:G7)</f>
        <v>521.75460369921552</v>
      </c>
      <c r="J7" s="179"/>
      <c r="K7" s="448" t="s">
        <v>487</v>
      </c>
      <c r="L7" s="159" t="s">
        <v>483</v>
      </c>
      <c r="M7" s="154">
        <v>492</v>
      </c>
      <c r="N7" s="176"/>
      <c r="O7" s="352"/>
      <c r="P7" s="176">
        <f>(M7-M4)/M4</f>
        <v>-6.9943289224952743E-2</v>
      </c>
      <c r="Q7" s="352">
        <f>M7-M4</f>
        <v>-37</v>
      </c>
      <c r="R7" s="294"/>
    </row>
    <row r="8" spans="1:24" x14ac:dyDescent="0.2">
      <c r="A8" s="448"/>
      <c r="B8" s="448"/>
      <c r="C8" s="160" t="s">
        <v>485</v>
      </c>
      <c r="D8" s="153">
        <f>' H Girl'!$Q$136</f>
        <v>173.55120106452733</v>
      </c>
      <c r="E8" s="153">
        <f>' H Boy'!$Q$135</f>
        <v>189.70589259955148</v>
      </c>
      <c r="F8" s="153">
        <f>'H Mother'!$Q$137</f>
        <v>182.1210611177537</v>
      </c>
      <c r="G8" s="153">
        <f>'H Father'!$Q$137</f>
        <v>230.58513572282624</v>
      </c>
      <c r="I8" s="155">
        <f t="shared" si="0"/>
        <v>775.96329050465874</v>
      </c>
      <c r="J8" s="179"/>
      <c r="K8" s="448"/>
      <c r="L8" s="160" t="s">
        <v>485</v>
      </c>
      <c r="M8" s="155">
        <v>745</v>
      </c>
      <c r="N8" s="176">
        <f>(M8-M7)/M7</f>
        <v>0.51422764227642281</v>
      </c>
      <c r="O8" s="352">
        <f>M8-M7</f>
        <v>253</v>
      </c>
      <c r="P8" s="176">
        <f>(M8-M5)/M5</f>
        <v>-0.10240963855421686</v>
      </c>
      <c r="Q8" s="352">
        <f>M8-M5</f>
        <v>-85</v>
      </c>
      <c r="R8" s="295"/>
    </row>
    <row r="9" spans="1:24" x14ac:dyDescent="0.2">
      <c r="A9" s="27"/>
      <c r="B9" s="27"/>
      <c r="C9" s="24"/>
      <c r="D9" s="72"/>
      <c r="E9" s="72"/>
      <c r="F9" s="72"/>
      <c r="G9" s="72"/>
      <c r="I9" s="156"/>
      <c r="K9" s="69"/>
      <c r="L9" s="24"/>
      <c r="M9" s="156"/>
      <c r="N9" s="176"/>
      <c r="O9" s="352"/>
      <c r="P9" s="293" t="s">
        <v>488</v>
      </c>
      <c r="Q9" s="293"/>
      <c r="R9" s="296" t="s">
        <v>489</v>
      </c>
    </row>
    <row r="10" spans="1:24" x14ac:dyDescent="0.2">
      <c r="A10" s="448" t="s">
        <v>490</v>
      </c>
      <c r="B10" s="448"/>
      <c r="C10" s="159" t="s">
        <v>483</v>
      </c>
      <c r="D10" s="152">
        <f>AVERAGE(D5,D7)</f>
        <v>115.49000458600567</v>
      </c>
      <c r="E10" s="152">
        <f t="shared" ref="E10:G11" si="1">AVERAGE(E5,E7)</f>
        <v>126.94572814460619</v>
      </c>
      <c r="F10" s="152">
        <f t="shared" si="1"/>
        <v>125.90106757959161</v>
      </c>
      <c r="G10" s="152">
        <f t="shared" si="1"/>
        <v>160.26823825539333</v>
      </c>
      <c r="I10" s="197">
        <f>SUM(D10:G10)</f>
        <v>528.60503856559671</v>
      </c>
      <c r="J10" s="178"/>
      <c r="K10" s="448" t="s">
        <v>482</v>
      </c>
      <c r="L10" s="159" t="s">
        <v>483</v>
      </c>
      <c r="M10" s="154">
        <v>467</v>
      </c>
      <c r="N10" s="176"/>
      <c r="O10" s="352"/>
      <c r="P10" s="176">
        <f>(M10-M7)/M7</f>
        <v>-5.08130081300813E-2</v>
      </c>
      <c r="Q10" s="352">
        <f>M10-M7</f>
        <v>-25</v>
      </c>
      <c r="R10" s="176">
        <f>(M10-M4)/M4</f>
        <v>-0.11720226843100189</v>
      </c>
      <c r="S10" s="352">
        <f>M10-M4</f>
        <v>-62</v>
      </c>
    </row>
    <row r="11" spans="1:24" x14ac:dyDescent="0.2">
      <c r="A11" s="448"/>
      <c r="B11" s="448"/>
      <c r="C11" s="160" t="s">
        <v>485</v>
      </c>
      <c r="D11" s="153">
        <f>AVERAGE(D6,D8)</f>
        <v>184.89107967564613</v>
      </c>
      <c r="E11" s="153">
        <f t="shared" si="1"/>
        <v>202.2196162146393</v>
      </c>
      <c r="F11" s="153">
        <f t="shared" si="1"/>
        <v>195.55621937371416</v>
      </c>
      <c r="G11" s="153">
        <f t="shared" si="1"/>
        <v>247.54182899069374</v>
      </c>
      <c r="I11" s="198">
        <f>SUM(D11:G11)</f>
        <v>830.20874425469333</v>
      </c>
      <c r="J11" s="179"/>
      <c r="K11" s="448"/>
      <c r="L11" s="160" t="s">
        <v>485</v>
      </c>
      <c r="M11" s="155">
        <v>685</v>
      </c>
      <c r="N11" s="176">
        <f>(M11-M10)/M10</f>
        <v>0.46680942184154178</v>
      </c>
      <c r="O11" s="352">
        <f>M11-M10</f>
        <v>218</v>
      </c>
      <c r="P11" s="176">
        <f>(M11-M8)/M8</f>
        <v>-8.0536912751677847E-2</v>
      </c>
      <c r="Q11" s="352">
        <f>M11-M8</f>
        <v>-60</v>
      </c>
      <c r="R11" s="176">
        <f>(M11-M5)/M5</f>
        <v>-0.1746987951807229</v>
      </c>
      <c r="S11" s="352">
        <f>M11-M5</f>
        <v>-145</v>
      </c>
    </row>
    <row r="12" spans="1:24" x14ac:dyDescent="0.2">
      <c r="A12" s="24"/>
      <c r="B12" s="69"/>
      <c r="C12" s="24"/>
      <c r="I12" s="68"/>
      <c r="J12" s="179"/>
      <c r="M12" s="296" t="s">
        <v>492</v>
      </c>
      <c r="N12" s="296">
        <f>(N5+N8+N11)/3</f>
        <v>0.51667839125293213</v>
      </c>
      <c r="O12" s="296"/>
      <c r="P12" s="296"/>
      <c r="Q12" s="296"/>
      <c r="R12" s="296">
        <f>(R10+R11)/2</f>
        <v>-0.1459505318058624</v>
      </c>
    </row>
    <row r="13" spans="1:24" ht="19" x14ac:dyDescent="0.2">
      <c r="A13" s="24" t="s">
        <v>493</v>
      </c>
      <c r="B13" s="69"/>
      <c r="C13" s="24"/>
      <c r="I13" s="68"/>
      <c r="J13" s="179"/>
      <c r="K13" s="446" t="s">
        <v>494</v>
      </c>
      <c r="L13" s="446"/>
      <c r="M13" s="446"/>
      <c r="N13" s="357"/>
      <c r="O13" s="357"/>
      <c r="P13" s="357"/>
      <c r="Q13" s="283"/>
      <c r="R13" s="355"/>
      <c r="S13" s="354"/>
      <c r="T13" s="175"/>
      <c r="U13" s="175"/>
      <c r="V13" s="175"/>
      <c r="W13" s="175"/>
      <c r="X13" s="175"/>
    </row>
    <row r="14" spans="1:24" x14ac:dyDescent="0.2">
      <c r="B14" s="69"/>
      <c r="C14" s="24"/>
      <c r="D14" s="24" t="s">
        <v>478</v>
      </c>
      <c r="E14" s="24" t="s">
        <v>479</v>
      </c>
      <c r="F14" s="24" t="s">
        <v>480</v>
      </c>
      <c r="G14" s="24" t="s">
        <v>481</v>
      </c>
      <c r="I14" s="151"/>
      <c r="J14" s="179"/>
      <c r="K14" s="445" t="s">
        <v>495</v>
      </c>
      <c r="L14" s="445"/>
      <c r="M14" s="445"/>
      <c r="N14" s="175"/>
      <c r="O14" s="28"/>
      <c r="V14" s="19"/>
      <c r="W14" s="71"/>
      <c r="X14" s="71"/>
    </row>
    <row r="15" spans="1:24" ht="16" customHeight="1" x14ac:dyDescent="0.2">
      <c r="A15" s="448" t="s">
        <v>484</v>
      </c>
      <c r="B15" s="448" t="s">
        <v>427</v>
      </c>
      <c r="C15" s="159" t="s">
        <v>483</v>
      </c>
      <c r="D15" s="152">
        <f>'M Girl '!$H$135</f>
        <v>109.01441922046546</v>
      </c>
      <c r="E15" s="152">
        <f>'M Boy'!$H$136</f>
        <v>119.82295234251194</v>
      </c>
      <c r="F15" s="152">
        <f>'M Mother '!$H$137</f>
        <v>118.77908463863146</v>
      </c>
      <c r="G15" s="152">
        <f>'M Father '!$H$137</f>
        <v>150.73172971905689</v>
      </c>
      <c r="I15" s="154">
        <f>SUM(D15:G15)</f>
        <v>498.34818592066574</v>
      </c>
      <c r="J15" s="179"/>
      <c r="K15" s="445" t="s">
        <v>475</v>
      </c>
      <c r="L15" s="445" t="s">
        <v>496</v>
      </c>
      <c r="M15" s="449" t="s">
        <v>497</v>
      </c>
      <c r="N15" s="353"/>
      <c r="O15" s="353"/>
      <c r="P15" s="359"/>
      <c r="V15" s="19"/>
      <c r="W15" s="71"/>
      <c r="X15" s="71"/>
    </row>
    <row r="16" spans="1:24" x14ac:dyDescent="0.2">
      <c r="A16" s="448"/>
      <c r="B16" s="448"/>
      <c r="C16" s="160" t="s">
        <v>485</v>
      </c>
      <c r="D16" s="153">
        <f>'M Girl '!$K$135</f>
        <v>175.25777117191896</v>
      </c>
      <c r="E16" s="153">
        <f>'M Boy'!$K$136</f>
        <v>191.66283400339651</v>
      </c>
      <c r="F16" s="153">
        <f>'M Mother '!$K$137</f>
        <v>185.5206991590864</v>
      </c>
      <c r="G16" s="153">
        <f>'M Father '!$K$137</f>
        <v>235.71176536780493</v>
      </c>
      <c r="I16" s="155">
        <f t="shared" ref="I16:I18" si="2">SUM(D16:G16)</f>
        <v>788.15306970220672</v>
      </c>
      <c r="J16" s="179"/>
      <c r="K16" s="445"/>
      <c r="L16" s="445"/>
      <c r="M16" s="449"/>
      <c r="N16" s="353"/>
      <c r="O16" s="353"/>
    </row>
    <row r="17" spans="1:23" x14ac:dyDescent="0.2">
      <c r="A17" s="448"/>
      <c r="B17" s="448" t="s">
        <v>428</v>
      </c>
      <c r="C17" s="159" t="s">
        <v>483</v>
      </c>
      <c r="D17" s="152">
        <f>'M Girl '!$N$135</f>
        <v>106.0551216322547</v>
      </c>
      <c r="E17" s="152">
        <f>'M Boy'!$N$136</f>
        <v>116.56698879548013</v>
      </c>
      <c r="F17" s="152">
        <f>'M Mother '!$N$137</f>
        <v>115.76057558529595</v>
      </c>
      <c r="G17" s="152">
        <f>'M Father '!$N$137</f>
        <v>147.37970598925813</v>
      </c>
      <c r="I17" s="154">
        <f t="shared" si="2"/>
        <v>485.76239200228889</v>
      </c>
      <c r="J17" s="179"/>
      <c r="K17" s="159" t="s">
        <v>502</v>
      </c>
      <c r="L17" s="154">
        <v>529</v>
      </c>
      <c r="M17" s="154">
        <f>L17/30*100</f>
        <v>1763.3333333333333</v>
      </c>
      <c r="N17" s="156"/>
      <c r="O17" s="156"/>
      <c r="W17" s="184"/>
    </row>
    <row r="18" spans="1:23" x14ac:dyDescent="0.2">
      <c r="A18" s="448"/>
      <c r="B18" s="448"/>
      <c r="C18" s="160" t="s">
        <v>485</v>
      </c>
      <c r="D18" s="153">
        <f>'M Girl '!$Q$135</f>
        <v>157.37041436557658</v>
      </c>
      <c r="E18" s="153">
        <f>'M Boy'!$Q$136</f>
        <v>171.90702723070561</v>
      </c>
      <c r="F18" s="153">
        <f>'M Mother '!$Q$137</f>
        <v>165.19709108385536</v>
      </c>
      <c r="G18" s="153">
        <f>'M Father '!$Q$137</f>
        <v>208.26811939352837</v>
      </c>
      <c r="I18" s="155">
        <f t="shared" si="2"/>
        <v>702.74265207366591</v>
      </c>
      <c r="J18" s="179"/>
      <c r="K18" s="160" t="s">
        <v>503</v>
      </c>
      <c r="L18" s="155">
        <v>830</v>
      </c>
      <c r="M18" s="155">
        <f>L18/30*100</f>
        <v>2766.666666666667</v>
      </c>
      <c r="N18" s="156"/>
      <c r="O18" s="156"/>
      <c r="R18" s="72"/>
      <c r="W18" s="184"/>
    </row>
    <row r="19" spans="1:23" x14ac:dyDescent="0.2">
      <c r="A19" s="27"/>
      <c r="B19" s="27"/>
      <c r="C19" s="24"/>
      <c r="D19" s="72"/>
      <c r="E19" s="72"/>
      <c r="F19" s="72"/>
      <c r="G19" s="72"/>
      <c r="I19" s="156"/>
      <c r="J19" s="179"/>
      <c r="K19" s="159" t="s">
        <v>500</v>
      </c>
      <c r="L19" s="154">
        <v>492</v>
      </c>
      <c r="M19" s="154">
        <f t="shared" ref="M19:M22" si="3">L19/30*100</f>
        <v>1639.9999999999998</v>
      </c>
      <c r="N19" s="156"/>
      <c r="O19" s="156"/>
      <c r="W19" s="184"/>
    </row>
    <row r="20" spans="1:23" x14ac:dyDescent="0.2">
      <c r="A20" s="448" t="s">
        <v>490</v>
      </c>
      <c r="B20" s="448"/>
      <c r="C20" s="159" t="s">
        <v>483</v>
      </c>
      <c r="D20" s="152">
        <f>AVERAGE(D15,D17)</f>
        <v>107.53477042636007</v>
      </c>
      <c r="E20" s="152">
        <f>AVERAGE(E15,E17)</f>
        <v>118.19497056899604</v>
      </c>
      <c r="F20" s="152">
        <f t="shared" ref="F20:G20" si="4">AVERAGE(F15,F17)</f>
        <v>117.2698301119637</v>
      </c>
      <c r="G20" s="152">
        <f t="shared" si="4"/>
        <v>149.05571785415751</v>
      </c>
      <c r="I20" s="197">
        <f>SUM(D20:G20)</f>
        <v>492.05528896147734</v>
      </c>
      <c r="J20" s="180"/>
      <c r="K20" s="160" t="s">
        <v>501</v>
      </c>
      <c r="L20" s="155">
        <v>745</v>
      </c>
      <c r="M20" s="155">
        <f t="shared" si="3"/>
        <v>2483.333333333333</v>
      </c>
      <c r="N20" s="156"/>
      <c r="O20" s="156"/>
      <c r="R20" s="72"/>
      <c r="W20" s="184"/>
    </row>
    <row r="21" spans="1:23" x14ac:dyDescent="0.2">
      <c r="A21" s="448"/>
      <c r="B21" s="448"/>
      <c r="C21" s="160" t="s">
        <v>485</v>
      </c>
      <c r="D21" s="153">
        <f>AVERAGE(D16,D18)</f>
        <v>166.31409276874777</v>
      </c>
      <c r="E21" s="153">
        <f t="shared" ref="E21:G21" si="5">AVERAGE(E16,E18)</f>
        <v>181.78493061705106</v>
      </c>
      <c r="F21" s="153">
        <f t="shared" si="5"/>
        <v>175.35889512147088</v>
      </c>
      <c r="G21" s="153">
        <f t="shared" si="5"/>
        <v>221.98994238066666</v>
      </c>
      <c r="I21" s="198">
        <f>SUM(D21:G21)</f>
        <v>745.44786088793637</v>
      </c>
      <c r="J21" s="179"/>
      <c r="K21" s="159" t="s">
        <v>498</v>
      </c>
      <c r="L21" s="154">
        <v>467</v>
      </c>
      <c r="M21" s="154">
        <f t="shared" si="3"/>
        <v>1556.6666666666667</v>
      </c>
      <c r="N21" s="156"/>
      <c r="O21" s="156"/>
      <c r="P21" s="72"/>
      <c r="Q21" s="72"/>
      <c r="W21" s="184"/>
    </row>
    <row r="22" spans="1:23" x14ac:dyDescent="0.2">
      <c r="A22" s="24"/>
      <c r="B22" s="69"/>
      <c r="C22" s="24"/>
      <c r="I22" s="68"/>
      <c r="J22" s="179"/>
      <c r="K22" s="160" t="s">
        <v>499</v>
      </c>
      <c r="L22" s="155">
        <v>685</v>
      </c>
      <c r="M22" s="155">
        <f t="shared" si="3"/>
        <v>2283.333333333333</v>
      </c>
      <c r="N22" s="156"/>
      <c r="O22" s="156"/>
      <c r="P22" s="72"/>
      <c r="Q22" s="72"/>
      <c r="R22" s="72"/>
    </row>
    <row r="23" spans="1:23" x14ac:dyDescent="0.2">
      <c r="A23" s="24" t="s">
        <v>473</v>
      </c>
      <c r="B23" s="69"/>
      <c r="C23" s="24"/>
      <c r="I23" s="68"/>
      <c r="J23" s="179"/>
      <c r="M23" s="156"/>
      <c r="N23" s="156"/>
      <c r="O23" s="156"/>
    </row>
    <row r="24" spans="1:23" x14ac:dyDescent="0.2">
      <c r="B24" s="69"/>
      <c r="C24" s="24"/>
      <c r="D24" s="24" t="s">
        <v>478</v>
      </c>
      <c r="E24" s="24" t="s">
        <v>479</v>
      </c>
      <c r="F24" s="24" t="s">
        <v>480</v>
      </c>
      <c r="G24" s="24" t="s">
        <v>481</v>
      </c>
      <c r="I24" s="151"/>
      <c r="J24" s="179"/>
      <c r="K24" s="445" t="s">
        <v>505</v>
      </c>
      <c r="L24" s="445"/>
      <c r="M24" s="445"/>
      <c r="N24" s="175"/>
      <c r="O24" s="28"/>
    </row>
    <row r="25" spans="1:23" ht="16" customHeight="1" x14ac:dyDescent="0.2">
      <c r="A25" s="448" t="s">
        <v>484</v>
      </c>
      <c r="B25" s="448" t="s">
        <v>427</v>
      </c>
      <c r="C25" s="159" t="s">
        <v>483</v>
      </c>
      <c r="D25" s="152">
        <f>'L Girl  '!$H$136</f>
        <v>103.10316046157725</v>
      </c>
      <c r="E25" s="152">
        <f>'L Boy'!$H$136</f>
        <v>113.32056770773495</v>
      </c>
      <c r="F25" s="152">
        <f>'L Mother '!$H$137</f>
        <v>112.57226294179891</v>
      </c>
      <c r="G25" s="152">
        <f>'L Father '!$H$137</f>
        <v>143.22448468027207</v>
      </c>
      <c r="I25" s="154">
        <f>SUM(D25:G25)</f>
        <v>472.22047579138314</v>
      </c>
      <c r="J25" s="179"/>
      <c r="K25" s="445" t="s">
        <v>475</v>
      </c>
      <c r="L25" s="445" t="s">
        <v>496</v>
      </c>
      <c r="M25" s="449" t="s">
        <v>497</v>
      </c>
      <c r="N25" s="353"/>
      <c r="O25" s="353"/>
    </row>
    <row r="26" spans="1:23" x14ac:dyDescent="0.2">
      <c r="A26" s="448"/>
      <c r="B26" s="448"/>
      <c r="C26" s="160" t="s">
        <v>485</v>
      </c>
      <c r="D26" s="153">
        <f>'L Girl  '!$K$136</f>
        <v>159.69649904306743</v>
      </c>
      <c r="E26" s="153">
        <f>'L Boy'!$K$136</f>
        <v>174.54543466165984</v>
      </c>
      <c r="F26" s="153">
        <f>'L Mother '!$K$137</f>
        <v>170.63019542379223</v>
      </c>
      <c r="G26" s="153">
        <f>'L Father '!$K$137</f>
        <v>215.17700227956973</v>
      </c>
      <c r="I26" s="155">
        <f t="shared" ref="I26:I28" si="6">SUM(D26:G26)</f>
        <v>720.04913140808924</v>
      </c>
      <c r="J26" s="179"/>
      <c r="K26" s="445"/>
      <c r="L26" s="445"/>
      <c r="M26" s="449"/>
      <c r="N26" s="353"/>
      <c r="O26" s="353"/>
      <c r="S26" s="356"/>
      <c r="T26" s="356"/>
      <c r="U26" s="356"/>
    </row>
    <row r="27" spans="1:23" x14ac:dyDescent="0.2">
      <c r="A27" s="448"/>
      <c r="B27" s="448" t="s">
        <v>428</v>
      </c>
      <c r="C27" s="159" t="s">
        <v>483</v>
      </c>
      <c r="D27" s="152">
        <f>'L Girl  '!$N$136</f>
        <v>100.41737165274266</v>
      </c>
      <c r="E27" s="152">
        <f>'L Boy'!$N$136</f>
        <v>110.36546381801692</v>
      </c>
      <c r="F27" s="152">
        <f>'L Mother '!$N$137</f>
        <v>110.39742130680834</v>
      </c>
      <c r="G27" s="152">
        <f>'L Father '!$N$137</f>
        <v>140.24169780263111</v>
      </c>
      <c r="I27" s="154">
        <f t="shared" si="6"/>
        <v>461.42195458019904</v>
      </c>
      <c r="J27" s="179"/>
      <c r="K27" s="159" t="s">
        <v>502</v>
      </c>
      <c r="L27" s="154">
        <v>529</v>
      </c>
      <c r="M27" s="154">
        <f>L27/15*100</f>
        <v>3526.6666666666665</v>
      </c>
      <c r="N27" s="156"/>
      <c r="O27" s="156"/>
      <c r="S27" s="356"/>
      <c r="T27" s="356"/>
      <c r="U27" s="356"/>
    </row>
    <row r="28" spans="1:23" x14ac:dyDescent="0.2">
      <c r="A28" s="448"/>
      <c r="B28" s="448"/>
      <c r="C28" s="160" t="s">
        <v>485</v>
      </c>
      <c r="D28" s="153">
        <f>'L Girl  '!$Q$136</f>
        <v>145.4005724446726</v>
      </c>
      <c r="E28" s="153">
        <f>'L Boy'!$Q$136</f>
        <v>158.74020111771125</v>
      </c>
      <c r="F28" s="153">
        <f>'L Mother '!$Q$137</f>
        <v>152.56290106690622</v>
      </c>
      <c r="G28" s="153">
        <f>'L Father '!$Q$137</f>
        <v>192.58178708602236</v>
      </c>
      <c r="I28" s="155">
        <f t="shared" si="6"/>
        <v>649.28546171531241</v>
      </c>
      <c r="J28" s="179"/>
      <c r="K28" s="160" t="s">
        <v>503</v>
      </c>
      <c r="L28" s="155">
        <v>830</v>
      </c>
      <c r="M28" s="155">
        <f>L28/15*100</f>
        <v>5533.3333333333339</v>
      </c>
      <c r="N28" s="156"/>
      <c r="O28" s="156"/>
      <c r="S28" s="356"/>
      <c r="T28" s="356"/>
      <c r="U28" s="356"/>
    </row>
    <row r="29" spans="1:23" x14ac:dyDescent="0.2">
      <c r="A29" s="27"/>
      <c r="B29" s="27"/>
      <c r="C29" s="24"/>
      <c r="D29" s="72"/>
      <c r="E29" s="72"/>
      <c r="F29" s="72"/>
      <c r="G29" s="72"/>
      <c r="I29" s="156"/>
      <c r="J29" s="179"/>
      <c r="K29" s="159" t="s">
        <v>500</v>
      </c>
      <c r="L29" s="154">
        <v>492</v>
      </c>
      <c r="M29" s="154">
        <f t="shared" ref="M29:M32" si="7">L29/15*100</f>
        <v>3279.9999999999995</v>
      </c>
      <c r="N29" s="156"/>
      <c r="O29" s="156"/>
    </row>
    <row r="30" spans="1:23" x14ac:dyDescent="0.2">
      <c r="A30" s="448" t="s">
        <v>490</v>
      </c>
      <c r="B30" s="448"/>
      <c r="C30" s="159" t="s">
        <v>483</v>
      </c>
      <c r="D30" s="152">
        <f>AVERAGE(D25,D27)</f>
        <v>101.76026605715995</v>
      </c>
      <c r="E30" s="152">
        <f t="shared" ref="E30:G31" si="8">AVERAGE(E25,E27)</f>
        <v>111.84301576287594</v>
      </c>
      <c r="F30" s="152">
        <f>AVERAGE(F25,F27)</f>
        <v>111.48484212430363</v>
      </c>
      <c r="G30" s="152">
        <f t="shared" si="8"/>
        <v>141.73309124145158</v>
      </c>
      <c r="I30" s="197">
        <f>SUM(D30:G30)</f>
        <v>466.82121518579106</v>
      </c>
      <c r="J30" s="180"/>
      <c r="K30" s="160" t="s">
        <v>501</v>
      </c>
      <c r="L30" s="155">
        <v>745</v>
      </c>
      <c r="M30" s="155">
        <f t="shared" si="7"/>
        <v>4966.6666666666661</v>
      </c>
      <c r="N30" s="156"/>
      <c r="O30" s="156"/>
    </row>
    <row r="31" spans="1:23" x14ac:dyDescent="0.2">
      <c r="A31" s="448"/>
      <c r="B31" s="448"/>
      <c r="C31" s="160" t="s">
        <v>485</v>
      </c>
      <c r="D31" s="153">
        <f>AVERAGE(D26,D28)</f>
        <v>152.54853574387002</v>
      </c>
      <c r="E31" s="153">
        <f t="shared" si="8"/>
        <v>166.64281788968555</v>
      </c>
      <c r="F31" s="153">
        <f>AVERAGE(F26,F28)</f>
        <v>161.59654824534923</v>
      </c>
      <c r="G31" s="153">
        <f t="shared" si="8"/>
        <v>203.87939468279603</v>
      </c>
      <c r="I31" s="198">
        <f>SUM(D31:G31)</f>
        <v>684.66729656170082</v>
      </c>
      <c r="J31" s="179"/>
      <c r="K31" s="159" t="s">
        <v>498</v>
      </c>
      <c r="L31" s="154">
        <v>467</v>
      </c>
      <c r="M31" s="154">
        <f t="shared" si="7"/>
        <v>3113.3333333333335</v>
      </c>
      <c r="N31" s="156"/>
      <c r="O31" s="156"/>
    </row>
    <row r="32" spans="1:23" x14ac:dyDescent="0.2">
      <c r="K32" s="160" t="s">
        <v>499</v>
      </c>
      <c r="L32" s="155">
        <v>685</v>
      </c>
      <c r="M32" s="155">
        <f t="shared" si="7"/>
        <v>4566.6666666666661</v>
      </c>
      <c r="N32" s="156"/>
      <c r="O32" s="156"/>
    </row>
    <row r="33" spans="1:15" x14ac:dyDescent="0.2">
      <c r="A33" s="445"/>
      <c r="B33" s="445"/>
      <c r="C33" s="445"/>
      <c r="D33" s="445"/>
      <c r="E33" s="445"/>
      <c r="F33" s="445"/>
    </row>
    <row r="34" spans="1:15" x14ac:dyDescent="0.2">
      <c r="A34" s="24"/>
    </row>
    <row r="35" spans="1:15" ht="19" x14ac:dyDescent="0.2">
      <c r="A35" s="24"/>
      <c r="C35" s="447"/>
      <c r="D35" s="447"/>
      <c r="E35" s="447"/>
      <c r="F35" s="447"/>
      <c r="K35" s="450" t="s">
        <v>506</v>
      </c>
      <c r="L35" s="450"/>
      <c r="M35" s="450"/>
    </row>
    <row r="36" spans="1:15" x14ac:dyDescent="0.2">
      <c r="A36" s="24"/>
      <c r="C36" s="161"/>
      <c r="D36" s="161"/>
      <c r="E36" s="161"/>
      <c r="F36" s="161"/>
      <c r="K36" s="451" t="s">
        <v>507</v>
      </c>
      <c r="L36" s="451"/>
      <c r="M36" s="451"/>
    </row>
    <row r="37" spans="1:15" x14ac:dyDescent="0.2">
      <c r="A37" s="27"/>
      <c r="B37" s="27"/>
      <c r="C37" s="162"/>
      <c r="D37" s="162"/>
      <c r="E37" s="162"/>
      <c r="F37" s="162"/>
      <c r="K37" s="24" t="s">
        <v>508</v>
      </c>
      <c r="L37" s="24" t="s">
        <v>509</v>
      </c>
      <c r="M37" s="24" t="s">
        <v>510</v>
      </c>
    </row>
    <row r="38" spans="1:15" ht="17" x14ac:dyDescent="0.2">
      <c r="A38" s="163"/>
      <c r="B38" s="164"/>
      <c r="C38" s="165"/>
      <c r="D38" s="165"/>
      <c r="E38" s="166"/>
      <c r="F38" s="166"/>
      <c r="K38" s="23" t="s">
        <v>511</v>
      </c>
      <c r="M38" s="259">
        <v>0.157</v>
      </c>
    </row>
    <row r="39" spans="1:15" ht="16" customHeight="1" x14ac:dyDescent="0.2">
      <c r="A39" s="163"/>
      <c r="B39" s="164"/>
      <c r="C39" s="165"/>
      <c r="D39" s="167"/>
      <c r="E39" s="166"/>
      <c r="F39" s="166"/>
      <c r="K39" s="23" t="s">
        <v>512</v>
      </c>
      <c r="L39" s="68">
        <f>16300/12</f>
        <v>1358.3333333333333</v>
      </c>
      <c r="M39" s="259">
        <v>0.20300000000000001</v>
      </c>
    </row>
    <row r="40" spans="1:15" ht="16" customHeight="1" x14ac:dyDescent="0.2">
      <c r="B40" s="164"/>
      <c r="C40" s="165"/>
      <c r="D40" s="167"/>
      <c r="E40" s="166"/>
      <c r="F40" s="166"/>
      <c r="K40" s="23" t="s">
        <v>513</v>
      </c>
      <c r="L40" s="68">
        <f>22000/12</f>
        <v>1833.3333333333333</v>
      </c>
      <c r="M40" s="259">
        <v>0.23899999999999999</v>
      </c>
      <c r="N40" s="68"/>
      <c r="O40" s="68"/>
    </row>
    <row r="41" spans="1:15" ht="17" customHeight="1" x14ac:dyDescent="0.2">
      <c r="A41" s="163"/>
      <c r="B41" s="164"/>
      <c r="C41" s="165"/>
      <c r="D41" s="165"/>
      <c r="E41" s="165"/>
      <c r="F41" s="167"/>
      <c r="K41" s="23" t="s">
        <v>514</v>
      </c>
      <c r="L41" s="68">
        <f>28400/12</f>
        <v>2366.6666666666665</v>
      </c>
      <c r="M41" s="259">
        <v>0.20899999999999999</v>
      </c>
      <c r="N41" s="68"/>
      <c r="O41" s="68"/>
    </row>
    <row r="42" spans="1:15" ht="19" customHeight="1" x14ac:dyDescent="0.2">
      <c r="A42" s="163"/>
      <c r="B42" s="164"/>
      <c r="C42" s="165"/>
      <c r="D42" s="165"/>
      <c r="E42" s="165"/>
      <c r="F42" s="167"/>
      <c r="K42" s="23" t="s">
        <v>515</v>
      </c>
      <c r="L42" s="68">
        <f>38000/12</f>
        <v>3166.6666666666665</v>
      </c>
      <c r="M42" s="259">
        <v>0.192</v>
      </c>
      <c r="N42" s="68"/>
      <c r="O42" s="68"/>
    </row>
    <row r="43" spans="1:15" x14ac:dyDescent="0.2">
      <c r="B43" s="164"/>
      <c r="C43" s="165"/>
      <c r="D43" s="165"/>
      <c r="E43" s="165"/>
      <c r="F43" s="166"/>
      <c r="N43" s="68"/>
      <c r="O43" s="68"/>
    </row>
    <row r="44" spans="1:15" ht="72" customHeight="1" x14ac:dyDescent="0.2">
      <c r="K44" s="444" t="s">
        <v>516</v>
      </c>
      <c r="L44" s="444"/>
      <c r="M44" s="444"/>
      <c r="N44" s="68"/>
      <c r="O44" s="68"/>
    </row>
    <row r="45" spans="1:15" x14ac:dyDescent="0.2">
      <c r="A45" s="24"/>
      <c r="B45" s="168"/>
      <c r="C45" s="452"/>
      <c r="D45" s="452"/>
      <c r="E45" s="452"/>
      <c r="F45" s="452"/>
      <c r="N45" s="68"/>
      <c r="O45" s="68"/>
    </row>
    <row r="46" spans="1:15" x14ac:dyDescent="0.2">
      <c r="A46" s="24"/>
      <c r="B46" s="168"/>
      <c r="C46" s="161"/>
      <c r="D46" s="161"/>
      <c r="E46" s="161"/>
      <c r="F46" s="161"/>
      <c r="N46" s="68"/>
      <c r="O46" s="68"/>
    </row>
    <row r="47" spans="1:15" x14ac:dyDescent="0.2">
      <c r="A47" s="28"/>
      <c r="B47" s="27"/>
      <c r="C47" s="162"/>
      <c r="D47" s="162"/>
      <c r="E47" s="162"/>
      <c r="F47" s="162"/>
    </row>
    <row r="48" spans="1:15" x14ac:dyDescent="0.2">
      <c r="A48" s="163"/>
      <c r="B48" s="164"/>
      <c r="C48" s="165"/>
      <c r="D48" s="167"/>
      <c r="E48" s="166"/>
      <c r="F48" s="166"/>
    </row>
    <row r="49" spans="1:13" x14ac:dyDescent="0.2">
      <c r="A49" s="163"/>
      <c r="B49" s="164"/>
      <c r="C49" s="165"/>
      <c r="D49" s="167"/>
      <c r="E49" s="166"/>
      <c r="F49" s="166"/>
    </row>
    <row r="50" spans="1:13" x14ac:dyDescent="0.2">
      <c r="B50" s="164"/>
      <c r="C50" s="165"/>
      <c r="D50" s="167"/>
      <c r="E50" s="166"/>
      <c r="F50" s="166"/>
    </row>
    <row r="51" spans="1:13" x14ac:dyDescent="0.2">
      <c r="A51" s="163"/>
      <c r="B51" s="164"/>
      <c r="C51" s="165"/>
      <c r="D51" s="165"/>
      <c r="E51" s="165"/>
      <c r="F51" s="167"/>
    </row>
    <row r="52" spans="1:13" x14ac:dyDescent="0.2">
      <c r="A52" s="163"/>
      <c r="B52" s="164"/>
      <c r="C52" s="165"/>
      <c r="D52" s="165"/>
      <c r="E52" s="165"/>
      <c r="F52" s="166"/>
    </row>
    <row r="53" spans="1:13" x14ac:dyDescent="0.2">
      <c r="B53" s="164"/>
      <c r="C53" s="165"/>
      <c r="D53" s="165"/>
      <c r="E53" s="165"/>
      <c r="F53" s="167"/>
    </row>
    <row r="54" spans="1:13" x14ac:dyDescent="0.2">
      <c r="B54" s="166"/>
      <c r="C54" s="165"/>
      <c r="D54" s="165"/>
      <c r="E54" s="166"/>
      <c r="F54" s="166"/>
    </row>
    <row r="55" spans="1:13" x14ac:dyDescent="0.2">
      <c r="M55" s="68"/>
    </row>
    <row r="56" spans="1:13" x14ac:dyDescent="0.2">
      <c r="A56" s="24"/>
      <c r="B56" s="168"/>
      <c r="C56" s="452"/>
      <c r="D56" s="452"/>
      <c r="E56" s="452"/>
      <c r="F56" s="452"/>
      <c r="M56" s="68"/>
    </row>
    <row r="57" spans="1:13" x14ac:dyDescent="0.2">
      <c r="A57" s="24"/>
      <c r="B57" s="168"/>
      <c r="C57" s="161"/>
      <c r="D57" s="161"/>
      <c r="E57" s="161"/>
      <c r="F57" s="161"/>
      <c r="K57" s="250"/>
      <c r="M57" s="68"/>
    </row>
    <row r="58" spans="1:13" x14ac:dyDescent="0.2">
      <c r="A58" s="24"/>
      <c r="B58" s="27"/>
      <c r="C58" s="162"/>
      <c r="D58" s="162"/>
      <c r="E58" s="162"/>
      <c r="F58" s="162"/>
      <c r="I58" s="24"/>
      <c r="J58" s="174"/>
      <c r="K58" s="68"/>
      <c r="L58" s="68"/>
      <c r="M58" s="68"/>
    </row>
    <row r="59" spans="1:13" x14ac:dyDescent="0.2">
      <c r="A59" s="163"/>
      <c r="B59" s="169"/>
      <c r="C59" s="165"/>
      <c r="D59" s="165"/>
      <c r="E59" s="166"/>
      <c r="F59" s="166"/>
      <c r="I59" s="163"/>
      <c r="K59" s="68"/>
      <c r="L59" s="68"/>
      <c r="M59" s="68"/>
    </row>
    <row r="60" spans="1:13" x14ac:dyDescent="0.2">
      <c r="A60" s="163"/>
      <c r="B60" s="169"/>
      <c r="C60" s="165"/>
      <c r="D60" s="167"/>
      <c r="E60" s="166"/>
      <c r="F60" s="166"/>
      <c r="I60" s="163"/>
      <c r="J60" s="169"/>
      <c r="K60" s="68"/>
      <c r="L60" s="68"/>
      <c r="M60" s="68"/>
    </row>
    <row r="61" spans="1:13" x14ac:dyDescent="0.2">
      <c r="B61" s="169"/>
      <c r="C61" s="165"/>
      <c r="D61" s="167"/>
      <c r="E61" s="166"/>
      <c r="F61" s="166"/>
      <c r="J61" s="169"/>
    </row>
    <row r="62" spans="1:13" x14ac:dyDescent="0.2">
      <c r="A62" s="163"/>
      <c r="B62" s="169"/>
      <c r="C62" s="165"/>
      <c r="D62" s="165"/>
      <c r="E62" s="165"/>
      <c r="F62" s="167"/>
      <c r="I62" s="163"/>
      <c r="J62" s="169"/>
    </row>
    <row r="63" spans="1:13" x14ac:dyDescent="0.2">
      <c r="A63" s="163"/>
      <c r="B63" s="169"/>
      <c r="C63" s="165"/>
      <c r="D63" s="165"/>
      <c r="E63" s="165"/>
      <c r="F63" s="166"/>
      <c r="I63" s="163"/>
      <c r="J63" s="169"/>
      <c r="K63" s="68"/>
      <c r="L63" s="68"/>
    </row>
    <row r="64" spans="1:13" x14ac:dyDescent="0.2">
      <c r="B64" s="169"/>
      <c r="C64" s="165"/>
      <c r="D64" s="165"/>
      <c r="E64" s="165"/>
      <c r="F64" s="167"/>
      <c r="J64" s="169"/>
      <c r="K64" s="68"/>
      <c r="L64" s="68"/>
    </row>
    <row r="65" spans="1:10" x14ac:dyDescent="0.2">
      <c r="J65" s="168"/>
    </row>
    <row r="66" spans="1:10" x14ac:dyDescent="0.2">
      <c r="J66" s="168"/>
    </row>
    <row r="67" spans="1:10" x14ac:dyDescent="0.2">
      <c r="A67" s="24"/>
      <c r="B67" s="27"/>
      <c r="C67" s="162"/>
      <c r="D67" s="162"/>
      <c r="E67" s="162"/>
      <c r="F67" s="162"/>
    </row>
    <row r="68" spans="1:10" x14ac:dyDescent="0.2">
      <c r="A68" s="163"/>
      <c r="B68" s="169"/>
      <c r="C68" s="165"/>
      <c r="D68" s="165"/>
      <c r="E68" s="166"/>
      <c r="F68" s="166"/>
    </row>
    <row r="69" spans="1:10" x14ac:dyDescent="0.2">
      <c r="A69" s="163"/>
      <c r="B69" s="169"/>
      <c r="C69" s="165"/>
      <c r="D69" s="165"/>
      <c r="E69" s="165"/>
      <c r="F69" s="167"/>
    </row>
    <row r="74" spans="1:10" x14ac:dyDescent="0.2">
      <c r="A74" s="163"/>
      <c r="B74" s="169"/>
      <c r="C74" s="165"/>
      <c r="D74" s="167"/>
      <c r="E74" s="166"/>
      <c r="F74" s="166"/>
    </row>
    <row r="75" spans="1:10" x14ac:dyDescent="0.2">
      <c r="A75" s="163"/>
      <c r="B75" s="169"/>
      <c r="C75" s="165"/>
      <c r="D75" s="165"/>
      <c r="E75" s="165"/>
      <c r="F75" s="166"/>
    </row>
    <row r="79" spans="1:10" x14ac:dyDescent="0.2">
      <c r="B79" s="169"/>
      <c r="C79" s="165"/>
      <c r="D79" s="167"/>
      <c r="E79" s="166"/>
      <c r="F79" s="166"/>
    </row>
    <row r="80" spans="1:10" x14ac:dyDescent="0.2">
      <c r="B80" s="169"/>
      <c r="C80" s="165"/>
      <c r="D80" s="165"/>
      <c r="E80" s="165"/>
      <c r="F80" s="167"/>
    </row>
    <row r="87" spans="1:6" x14ac:dyDescent="0.2">
      <c r="A87" s="445"/>
      <c r="B87" s="445"/>
      <c r="C87" s="445"/>
      <c r="D87" s="445"/>
      <c r="E87" s="445"/>
      <c r="F87" s="445"/>
    </row>
    <row r="88" spans="1:6" x14ac:dyDescent="0.2">
      <c r="B88" s="70"/>
      <c r="C88" s="19"/>
      <c r="D88" s="19"/>
      <c r="E88" s="71"/>
      <c r="F88" s="71"/>
    </row>
    <row r="89" spans="1:6" x14ac:dyDescent="0.2">
      <c r="A89" s="24"/>
      <c r="B89" s="170"/>
      <c r="C89" s="171"/>
      <c r="D89" s="171"/>
      <c r="E89" s="172"/>
      <c r="F89" s="172"/>
    </row>
    <row r="90" spans="1:6" x14ac:dyDescent="0.2">
      <c r="A90" s="173"/>
      <c r="B90" s="70"/>
      <c r="C90" s="19"/>
      <c r="D90" s="19"/>
      <c r="E90" s="71"/>
      <c r="F90" s="71"/>
    </row>
  </sheetData>
  <mergeCells count="37">
    <mergeCell ref="K4:K5"/>
    <mergeCell ref="K7:K8"/>
    <mergeCell ref="K10:K11"/>
    <mergeCell ref="N2:O2"/>
    <mergeCell ref="P2:Q2"/>
    <mergeCell ref="A1:I1"/>
    <mergeCell ref="I3:I4"/>
    <mergeCell ref="C45:F45"/>
    <mergeCell ref="C56:F56"/>
    <mergeCell ref="M15:M16"/>
    <mergeCell ref="A33:F33"/>
    <mergeCell ref="A5:A8"/>
    <mergeCell ref="B5:B6"/>
    <mergeCell ref="B7:B8"/>
    <mergeCell ref="A10:B11"/>
    <mergeCell ref="A15:A18"/>
    <mergeCell ref="B15:B16"/>
    <mergeCell ref="B17:B18"/>
    <mergeCell ref="L15:L16"/>
    <mergeCell ref="K15:K16"/>
    <mergeCell ref="K1:P1"/>
    <mergeCell ref="K44:M44"/>
    <mergeCell ref="K14:M14"/>
    <mergeCell ref="K24:M24"/>
    <mergeCell ref="K13:M13"/>
    <mergeCell ref="A87:F87"/>
    <mergeCell ref="C35:F35"/>
    <mergeCell ref="A20:B21"/>
    <mergeCell ref="A25:A28"/>
    <mergeCell ref="B25:B26"/>
    <mergeCell ref="B27:B28"/>
    <mergeCell ref="A30:B31"/>
    <mergeCell ref="K25:K26"/>
    <mergeCell ref="L25:L26"/>
    <mergeCell ref="M25:M26"/>
    <mergeCell ref="K35:M35"/>
    <mergeCell ref="K36:M36"/>
  </mergeCells>
  <pageMargins left="0.7" right="0.7" top="0.78740157499999996" bottom="0.78740157499999996" header="0.3" footer="0.3"/>
  <pageSetup paperSize="9" scale="3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81A2C-487E-2D4F-B6EF-341C1DC7B358}">
  <sheetPr codeName="Tabelle9">
    <tabColor rgb="FF73FEFF"/>
    <pageSetUpPr fitToPage="1"/>
  </sheetPr>
  <dimension ref="A1:P144"/>
  <sheetViews>
    <sheetView zoomScaleNormal="70" workbookViewId="0">
      <pane ySplit="6" topLeftCell="A118" activePane="bottomLeft" state="frozen"/>
      <selection pane="bottomLeft" activeCell="C124" sqref="C124"/>
    </sheetView>
  </sheetViews>
  <sheetFormatPr baseColWidth="10" defaultColWidth="10.83203125" defaultRowHeight="16" x14ac:dyDescent="0.2"/>
  <cols>
    <col min="1" max="1" width="26.5" style="9" customWidth="1"/>
    <col min="2" max="2" width="36.1640625" style="1" customWidth="1"/>
    <col min="3" max="3" width="31.1640625" style="1" customWidth="1"/>
    <col min="4" max="4" width="17.5" style="1" customWidth="1"/>
    <col min="5" max="5" width="15.1640625" style="1" customWidth="1"/>
    <col min="6" max="6" width="28.1640625" style="1" customWidth="1"/>
    <col min="7" max="7" width="16.33203125" style="1" customWidth="1"/>
    <col min="8" max="8" width="13.6640625" style="1" customWidth="1"/>
    <col min="9" max="9" width="16" style="1" customWidth="1"/>
    <col min="10" max="10" width="15.33203125" style="1" customWidth="1"/>
    <col min="11" max="11" width="18.1640625" style="1" customWidth="1"/>
    <col min="12" max="12" width="15.5" style="1" customWidth="1"/>
    <col min="13" max="14" width="15.6640625" style="1" customWidth="1"/>
    <col min="15" max="15" width="15.33203125" style="1" customWidth="1"/>
    <col min="16" max="16" width="15.1640625" style="1" customWidth="1"/>
    <col min="17" max="16384" width="10.83203125" style="1"/>
  </cols>
  <sheetData>
    <row r="1" spans="1:16" ht="16" customHeight="1" x14ac:dyDescent="0.2">
      <c r="A1" s="382" t="s">
        <v>12</v>
      </c>
      <c r="B1" s="383"/>
      <c r="C1" s="383"/>
      <c r="D1" s="383"/>
      <c r="E1" s="383"/>
      <c r="F1" s="383"/>
      <c r="G1" s="383"/>
      <c r="H1" s="384"/>
      <c r="I1" s="86"/>
      <c r="J1" s="93"/>
      <c r="K1" s="93"/>
      <c r="L1" s="93"/>
      <c r="M1" s="93"/>
      <c r="N1" s="147"/>
      <c r="O1" s="93"/>
    </row>
    <row r="2" spans="1:16" ht="19" customHeight="1" x14ac:dyDescent="0.2">
      <c r="A2" s="385" t="s">
        <v>13</v>
      </c>
      <c r="B2" s="386"/>
      <c r="C2" s="386"/>
      <c r="D2" s="386"/>
      <c r="E2" s="386"/>
      <c r="F2" s="386"/>
      <c r="G2" s="386"/>
      <c r="H2" s="387"/>
      <c r="I2" s="86"/>
      <c r="J2" s="254"/>
      <c r="K2" s="254"/>
      <c r="L2" s="254"/>
      <c r="M2" s="254"/>
      <c r="N2" s="254"/>
      <c r="O2" s="254"/>
      <c r="P2" s="65"/>
    </row>
    <row r="3" spans="1:16" ht="17" customHeight="1" x14ac:dyDescent="0.2">
      <c r="A3" s="382" t="s">
        <v>14</v>
      </c>
      <c r="B3" s="383"/>
      <c r="C3" s="383"/>
      <c r="D3" s="383"/>
      <c r="E3" s="383"/>
      <c r="F3" s="383"/>
      <c r="G3" s="383"/>
      <c r="H3" s="384"/>
      <c r="I3" s="86"/>
      <c r="J3" s="23"/>
      <c r="K3" s="253"/>
      <c r="L3" s="253"/>
      <c r="M3" s="253"/>
      <c r="N3" s="253"/>
      <c r="O3" s="253"/>
      <c r="P3" s="65"/>
    </row>
    <row r="4" spans="1:16" ht="18" customHeight="1" x14ac:dyDescent="0.2">
      <c r="B4" s="9"/>
      <c r="C4" s="127"/>
      <c r="D4" s="128"/>
      <c r="E4" s="128"/>
      <c r="F4" s="128"/>
      <c r="G4" s="128"/>
      <c r="H4" s="129"/>
      <c r="I4" s="86"/>
      <c r="J4" s="23"/>
      <c r="K4" s="253"/>
      <c r="L4" s="253"/>
      <c r="M4" s="253"/>
      <c r="N4" s="253"/>
      <c r="O4" s="253"/>
      <c r="P4" s="65"/>
    </row>
    <row r="5" spans="1:16" ht="22" customHeight="1" x14ac:dyDescent="0.2">
      <c r="C5" s="376" t="s">
        <v>15</v>
      </c>
      <c r="D5" s="377"/>
      <c r="E5" s="378"/>
      <c r="F5" s="379" t="s">
        <v>16</v>
      </c>
      <c r="G5" s="380"/>
      <c r="H5" s="381"/>
      <c r="J5" s="148"/>
      <c r="K5" s="144"/>
      <c r="L5" s="94"/>
      <c r="M5" s="94"/>
      <c r="N5" s="94"/>
      <c r="O5" s="94"/>
    </row>
    <row r="6" spans="1:16" s="12" customFormat="1" ht="34" customHeight="1" x14ac:dyDescent="0.2">
      <c r="A6" s="12" t="s">
        <v>17</v>
      </c>
      <c r="B6" s="12" t="s">
        <v>18</v>
      </c>
      <c r="C6" s="30" t="s">
        <v>19</v>
      </c>
      <c r="D6" s="30" t="s">
        <v>20</v>
      </c>
      <c r="E6" s="30" t="s">
        <v>21</v>
      </c>
      <c r="F6" s="41" t="s">
        <v>19</v>
      </c>
      <c r="G6" s="41" t="s">
        <v>20</v>
      </c>
      <c r="H6" s="41" t="s">
        <v>21</v>
      </c>
      <c r="I6" s="398"/>
      <c r="J6" s="398"/>
      <c r="K6" s="398"/>
      <c r="L6" s="398"/>
      <c r="M6" s="398"/>
      <c r="N6" s="398"/>
      <c r="O6" s="397"/>
      <c r="P6" s="397"/>
    </row>
    <row r="7" spans="1:16" s="9" customFormat="1" x14ac:dyDescent="0.2">
      <c r="C7" s="30"/>
      <c r="D7" s="30"/>
      <c r="E7" s="30"/>
      <c r="F7" s="41"/>
      <c r="G7" s="41"/>
      <c r="H7" s="41"/>
    </row>
    <row r="8" spans="1:16" s="4" customFormat="1" ht="18" customHeight="1" x14ac:dyDescent="0.2">
      <c r="A8" s="12" t="s">
        <v>22</v>
      </c>
      <c r="B8" s="12" t="s">
        <v>23</v>
      </c>
      <c r="C8" s="12"/>
      <c r="D8" s="12"/>
      <c r="E8" s="12"/>
      <c r="F8" s="12"/>
      <c r="G8" s="12"/>
      <c r="H8" s="12"/>
    </row>
    <row r="9" spans="1:16" ht="19" customHeight="1" x14ac:dyDescent="0.2">
      <c r="B9" s="1" t="s">
        <v>24</v>
      </c>
      <c r="C9" s="31" t="s">
        <v>25</v>
      </c>
      <c r="D9" s="31">
        <v>2.89</v>
      </c>
      <c r="E9" s="31">
        <v>2.89</v>
      </c>
      <c r="F9" s="42" t="s">
        <v>26</v>
      </c>
      <c r="G9" s="42">
        <v>2.89</v>
      </c>
      <c r="H9" s="42">
        <v>2.89</v>
      </c>
    </row>
    <row r="10" spans="1:16" ht="34" x14ac:dyDescent="0.2">
      <c r="B10" s="1" t="s">
        <v>27</v>
      </c>
      <c r="C10" s="31" t="s">
        <v>28</v>
      </c>
      <c r="D10" s="31">
        <v>0.79</v>
      </c>
      <c r="E10" s="31">
        <v>1.58</v>
      </c>
      <c r="F10" s="42" t="s">
        <v>29</v>
      </c>
      <c r="G10" s="42">
        <v>2.19</v>
      </c>
      <c r="H10" s="42">
        <v>4.38</v>
      </c>
    </row>
    <row r="11" spans="1:16" ht="34" x14ac:dyDescent="0.2">
      <c r="B11" s="1" t="s">
        <v>30</v>
      </c>
      <c r="C11" s="31" t="s">
        <v>31</v>
      </c>
      <c r="D11" s="31">
        <v>1.19</v>
      </c>
      <c r="E11" s="31">
        <v>2.13</v>
      </c>
      <c r="F11" s="42" t="s">
        <v>32</v>
      </c>
      <c r="G11" s="42">
        <v>1.19</v>
      </c>
      <c r="H11" s="42">
        <v>4.25</v>
      </c>
    </row>
    <row r="12" spans="1:16" ht="17" x14ac:dyDescent="0.2">
      <c r="B12" s="1" t="s">
        <v>33</v>
      </c>
      <c r="C12" s="31" t="s">
        <v>34</v>
      </c>
      <c r="D12" s="31">
        <v>0.79</v>
      </c>
      <c r="E12" s="31">
        <v>1.58</v>
      </c>
      <c r="F12" s="42" t="s">
        <v>35</v>
      </c>
      <c r="G12" s="42">
        <v>0.99</v>
      </c>
      <c r="H12" s="42">
        <v>1.98</v>
      </c>
    </row>
    <row r="13" spans="1:16" ht="34" x14ac:dyDescent="0.2">
      <c r="B13" s="1" t="s">
        <v>36</v>
      </c>
      <c r="C13" s="31" t="s">
        <v>37</v>
      </c>
      <c r="D13" s="31">
        <v>1.79</v>
      </c>
      <c r="E13" s="31">
        <v>3.58</v>
      </c>
      <c r="F13" s="42" t="s">
        <v>38</v>
      </c>
      <c r="G13" s="42">
        <v>1.49</v>
      </c>
      <c r="H13" s="42">
        <v>2.98</v>
      </c>
    </row>
    <row r="14" spans="1:16" x14ac:dyDescent="0.2">
      <c r="A14" s="9">
        <v>5</v>
      </c>
      <c r="C14" s="31"/>
      <c r="D14" s="31"/>
      <c r="E14" s="31"/>
      <c r="F14" s="42"/>
      <c r="G14" s="42"/>
      <c r="H14" s="42"/>
    </row>
    <row r="15" spans="1:16" s="4" customFormat="1" ht="19" customHeight="1" x14ac:dyDescent="0.2">
      <c r="A15" s="12" t="s">
        <v>39</v>
      </c>
      <c r="B15" s="12" t="s">
        <v>40</v>
      </c>
      <c r="C15" s="12"/>
      <c r="D15" s="12"/>
      <c r="E15" s="12"/>
      <c r="F15" s="12"/>
      <c r="G15" s="12"/>
      <c r="H15" s="12"/>
    </row>
    <row r="16" spans="1:16" ht="34" x14ac:dyDescent="0.2">
      <c r="B16" s="1" t="s">
        <v>41</v>
      </c>
      <c r="C16" s="31" t="s">
        <v>42</v>
      </c>
      <c r="D16" s="31">
        <v>2.29</v>
      </c>
      <c r="E16" s="31">
        <v>0.92</v>
      </c>
      <c r="F16" s="42" t="s">
        <v>43</v>
      </c>
      <c r="G16" s="42">
        <v>2.29</v>
      </c>
      <c r="H16" s="42">
        <v>1.53</v>
      </c>
    </row>
    <row r="17" spans="1:8" x14ac:dyDescent="0.2">
      <c r="A17" s="9">
        <v>1</v>
      </c>
      <c r="C17" s="31"/>
      <c r="D17" s="31"/>
      <c r="E17" s="31"/>
      <c r="F17" s="42"/>
      <c r="G17" s="42"/>
      <c r="H17" s="42"/>
    </row>
    <row r="18" spans="1:8" s="4" customFormat="1" ht="20" x14ac:dyDescent="0.2">
      <c r="A18" s="12" t="s">
        <v>44</v>
      </c>
    </row>
    <row r="19" spans="1:8" x14ac:dyDescent="0.2">
      <c r="A19" s="3"/>
      <c r="C19" s="31"/>
      <c r="D19" s="31"/>
      <c r="E19" s="31"/>
      <c r="F19" s="42"/>
      <c r="G19" s="42"/>
      <c r="H19" s="42"/>
    </row>
    <row r="20" spans="1:8" s="4" customFormat="1" ht="17" x14ac:dyDescent="0.2">
      <c r="A20" s="12"/>
      <c r="B20" s="12" t="s">
        <v>45</v>
      </c>
      <c r="C20" s="12"/>
      <c r="D20" s="12"/>
      <c r="E20" s="12"/>
      <c r="F20" s="12"/>
      <c r="G20" s="12"/>
      <c r="H20" s="12"/>
    </row>
    <row r="21" spans="1:8" ht="20" x14ac:dyDescent="0.2">
      <c r="B21" s="16" t="s">
        <v>46</v>
      </c>
      <c r="C21" s="32" t="s">
        <v>47</v>
      </c>
      <c r="D21" s="32">
        <v>0.95</v>
      </c>
      <c r="E21" s="32">
        <f>(1000/307)*D21</f>
        <v>3.0944625407166124</v>
      </c>
      <c r="F21" s="43" t="s">
        <v>47</v>
      </c>
      <c r="G21" s="43">
        <v>0.95</v>
      </c>
      <c r="H21" s="43">
        <f>(1000/307)*G21</f>
        <v>3.0944625407166124</v>
      </c>
    </row>
    <row r="22" spans="1:8" ht="20" x14ac:dyDescent="0.2">
      <c r="B22" s="16" t="s">
        <v>48</v>
      </c>
      <c r="C22" s="32" t="s">
        <v>49</v>
      </c>
      <c r="D22" s="32">
        <v>0.69</v>
      </c>
      <c r="E22" s="32">
        <f>(1000/240)*D22</f>
        <v>2.875</v>
      </c>
      <c r="F22" s="44" t="s">
        <v>50</v>
      </c>
      <c r="G22" s="44">
        <v>2.99</v>
      </c>
      <c r="H22" s="44">
        <f>(1000/500)*G22</f>
        <v>5.98</v>
      </c>
    </row>
    <row r="23" spans="1:8" ht="34" x14ac:dyDescent="0.2">
      <c r="B23" s="16" t="s">
        <v>51</v>
      </c>
      <c r="C23" s="32" t="s">
        <v>52</v>
      </c>
      <c r="D23" s="32">
        <v>0.79</v>
      </c>
      <c r="E23" s="32">
        <v>1.76</v>
      </c>
      <c r="F23" s="44" t="s">
        <v>53</v>
      </c>
      <c r="G23" s="44">
        <v>1.99</v>
      </c>
      <c r="H23" s="44">
        <v>3.32</v>
      </c>
    </row>
    <row r="24" spans="1:8" ht="20" x14ac:dyDescent="0.2">
      <c r="B24" s="16" t="s">
        <v>54</v>
      </c>
      <c r="C24" s="32" t="s">
        <v>55</v>
      </c>
      <c r="D24" s="32">
        <v>1.29</v>
      </c>
      <c r="E24" s="32">
        <f>(1000/703)*D24</f>
        <v>1.8349928876244666</v>
      </c>
      <c r="F24" s="44" t="s">
        <v>56</v>
      </c>
      <c r="G24" s="44">
        <v>2.69</v>
      </c>
      <c r="H24" s="44">
        <f>(1000/703)*G24</f>
        <v>3.8264580369843526</v>
      </c>
    </row>
    <row r="25" spans="1:8" ht="34" x14ac:dyDescent="0.2">
      <c r="B25" s="16" t="s">
        <v>57</v>
      </c>
      <c r="C25" s="33" t="s">
        <v>58</v>
      </c>
      <c r="D25" s="32">
        <v>2.39</v>
      </c>
      <c r="E25" s="32">
        <f>1000/383*D25</f>
        <v>6.2402088772845961</v>
      </c>
      <c r="F25" s="45" t="s">
        <v>59</v>
      </c>
      <c r="G25" s="44">
        <v>2.4900000000000002</v>
      </c>
      <c r="H25" s="44">
        <f>1000/383*G25</f>
        <v>6.5013054830287214</v>
      </c>
    </row>
    <row r="26" spans="1:8" ht="20" x14ac:dyDescent="0.2">
      <c r="B26" s="10" t="s">
        <v>60</v>
      </c>
      <c r="C26" s="32" t="s">
        <v>61</v>
      </c>
      <c r="D26" s="32">
        <v>0.49</v>
      </c>
      <c r="E26" s="32">
        <f>(1000/456)*D26</f>
        <v>1.0745614035087721</v>
      </c>
      <c r="F26" s="44" t="s">
        <v>62</v>
      </c>
      <c r="G26" s="44">
        <v>1.49</v>
      </c>
      <c r="H26" s="44">
        <f>(1000/456)*G26</f>
        <v>3.2675438596491229</v>
      </c>
    </row>
    <row r="27" spans="1:8" ht="17" x14ac:dyDescent="0.2">
      <c r="B27" s="16" t="s">
        <v>63</v>
      </c>
      <c r="C27" s="33" t="s">
        <v>64</v>
      </c>
      <c r="D27" s="33">
        <v>0.39</v>
      </c>
      <c r="E27" s="33">
        <v>1.79</v>
      </c>
      <c r="F27" s="45" t="s">
        <v>65</v>
      </c>
      <c r="G27" s="45">
        <v>1.79</v>
      </c>
      <c r="H27" s="45">
        <v>3.58</v>
      </c>
    </row>
    <row r="28" spans="1:8" ht="17" x14ac:dyDescent="0.2">
      <c r="B28" s="16" t="s">
        <v>66</v>
      </c>
      <c r="C28" s="33" t="s">
        <v>67</v>
      </c>
      <c r="D28" s="33">
        <v>1.99</v>
      </c>
      <c r="E28" s="33">
        <v>1.99</v>
      </c>
      <c r="F28" s="45" t="s">
        <v>68</v>
      </c>
      <c r="G28" s="45">
        <v>1.59</v>
      </c>
      <c r="H28" s="45">
        <v>5.3</v>
      </c>
    </row>
    <row r="29" spans="1:8" x14ac:dyDescent="0.2">
      <c r="A29" s="9">
        <v>8</v>
      </c>
      <c r="B29" s="17"/>
      <c r="C29" s="32"/>
      <c r="D29" s="32"/>
      <c r="E29" s="32"/>
      <c r="F29" s="44"/>
      <c r="G29" s="44"/>
      <c r="H29" s="44"/>
    </row>
    <row r="30" spans="1:8" s="4" customFormat="1" ht="17" x14ac:dyDescent="0.2">
      <c r="A30" s="12"/>
      <c r="B30" s="12" t="s">
        <v>69</v>
      </c>
      <c r="C30" s="12"/>
      <c r="D30" s="12"/>
      <c r="E30" s="12"/>
      <c r="F30" s="12"/>
      <c r="G30" s="12"/>
      <c r="H30" s="12"/>
    </row>
    <row r="31" spans="1:8" ht="17" x14ac:dyDescent="0.2">
      <c r="B31" s="23" t="s">
        <v>70</v>
      </c>
      <c r="C31" s="32" t="s">
        <v>71</v>
      </c>
      <c r="D31" s="32">
        <v>3.49</v>
      </c>
      <c r="E31" s="32">
        <v>1.75</v>
      </c>
      <c r="F31" s="44" t="s">
        <v>72</v>
      </c>
      <c r="G31" s="44">
        <v>2.79</v>
      </c>
      <c r="H31" s="44">
        <v>2.79</v>
      </c>
    </row>
    <row r="32" spans="1:8" ht="17" x14ac:dyDescent="0.2">
      <c r="B32" s="10" t="s">
        <v>73</v>
      </c>
      <c r="C32" s="33" t="s">
        <v>74</v>
      </c>
      <c r="D32" s="33">
        <v>0.28000000000000003</v>
      </c>
      <c r="E32" s="33">
        <v>2.79</v>
      </c>
      <c r="F32" s="45" t="s">
        <v>75</v>
      </c>
      <c r="G32" s="45">
        <v>2.59</v>
      </c>
      <c r="H32" s="45">
        <v>5.18</v>
      </c>
    </row>
    <row r="33" spans="1:8" ht="34" x14ac:dyDescent="0.2">
      <c r="B33" s="23" t="s">
        <v>76</v>
      </c>
      <c r="C33" s="33" t="s">
        <v>77</v>
      </c>
      <c r="D33" s="33">
        <v>0.85</v>
      </c>
      <c r="E33" s="33">
        <v>1.7</v>
      </c>
      <c r="F33" s="45" t="s">
        <v>78</v>
      </c>
      <c r="G33" s="45">
        <v>1.59</v>
      </c>
      <c r="H33" s="45">
        <v>2.27</v>
      </c>
    </row>
    <row r="34" spans="1:8" ht="34" x14ac:dyDescent="0.2">
      <c r="B34" s="23" t="s">
        <v>79</v>
      </c>
      <c r="C34" s="33" t="s">
        <v>80</v>
      </c>
      <c r="D34" s="33">
        <v>0.85</v>
      </c>
      <c r="E34" s="33">
        <f>1000/400*D34</f>
        <v>2.125</v>
      </c>
      <c r="F34" s="45" t="s">
        <v>81</v>
      </c>
      <c r="G34" s="45">
        <v>0.99</v>
      </c>
      <c r="H34" s="45">
        <f>1000/400*G34</f>
        <v>2.4750000000000001</v>
      </c>
    </row>
    <row r="35" spans="1:8" ht="17" x14ac:dyDescent="0.2">
      <c r="B35" s="16" t="s">
        <v>82</v>
      </c>
      <c r="C35" s="33" t="s">
        <v>83</v>
      </c>
      <c r="D35" s="33">
        <v>1.99</v>
      </c>
      <c r="E35" s="33">
        <v>3.98</v>
      </c>
      <c r="F35" s="45" t="s">
        <v>84</v>
      </c>
      <c r="G35" s="45">
        <v>1.4</v>
      </c>
      <c r="H35" s="45">
        <v>6.99</v>
      </c>
    </row>
    <row r="36" spans="1:8" ht="20" x14ac:dyDescent="0.2">
      <c r="B36" s="16" t="s">
        <v>85</v>
      </c>
      <c r="C36" s="33" t="s">
        <v>86</v>
      </c>
      <c r="D36" s="33">
        <v>0.99</v>
      </c>
      <c r="E36" s="76">
        <f>(1000/338)*D36</f>
        <v>2.9289940828402368</v>
      </c>
      <c r="F36" s="45" t="s">
        <v>87</v>
      </c>
      <c r="G36" s="45">
        <v>1.29</v>
      </c>
      <c r="H36" s="75">
        <f>(1000/338)*G36</f>
        <v>3.8165680473372783</v>
      </c>
    </row>
    <row r="37" spans="1:8" x14ac:dyDescent="0.2">
      <c r="A37" s="9">
        <v>6</v>
      </c>
      <c r="C37" s="37"/>
      <c r="D37" s="35"/>
      <c r="E37" s="35"/>
      <c r="F37" s="196"/>
      <c r="G37" s="46"/>
      <c r="H37" s="46"/>
    </row>
    <row r="38" spans="1:8" s="4" customFormat="1" ht="17" x14ac:dyDescent="0.2">
      <c r="A38" s="12"/>
      <c r="B38" s="25" t="s">
        <v>88</v>
      </c>
      <c r="C38" s="12"/>
      <c r="D38" s="12"/>
      <c r="E38" s="12"/>
      <c r="F38" s="12"/>
      <c r="G38" s="12"/>
      <c r="H38" s="12"/>
    </row>
    <row r="39" spans="1:8" ht="17" x14ac:dyDescent="0.2">
      <c r="B39" s="16" t="s">
        <v>89</v>
      </c>
      <c r="C39" s="33" t="s">
        <v>90</v>
      </c>
      <c r="D39" s="32">
        <v>2.2400000000000002</v>
      </c>
      <c r="E39" s="32">
        <v>1.49</v>
      </c>
      <c r="F39" s="43" t="s">
        <v>90</v>
      </c>
      <c r="G39" s="43">
        <v>2.2400000000000002</v>
      </c>
      <c r="H39" s="43">
        <v>1.49</v>
      </c>
    </row>
    <row r="40" spans="1:8" ht="34" x14ac:dyDescent="0.2">
      <c r="B40" s="16" t="s">
        <v>91</v>
      </c>
      <c r="C40" s="31" t="s">
        <v>92</v>
      </c>
      <c r="D40" s="31">
        <v>1.99</v>
      </c>
      <c r="E40" s="31">
        <v>1.99</v>
      </c>
      <c r="F40" s="42" t="s">
        <v>93</v>
      </c>
      <c r="G40" s="42">
        <v>2.19</v>
      </c>
      <c r="H40" s="42">
        <v>7.3</v>
      </c>
    </row>
    <row r="41" spans="1:8" ht="17" x14ac:dyDescent="0.2">
      <c r="B41" s="10" t="s">
        <v>94</v>
      </c>
      <c r="C41" s="32" t="s">
        <v>95</v>
      </c>
      <c r="D41" s="32">
        <v>1.79</v>
      </c>
      <c r="E41" s="32">
        <v>1.79</v>
      </c>
      <c r="F41" s="44" t="s">
        <v>96</v>
      </c>
      <c r="G41" s="44">
        <v>2.29</v>
      </c>
      <c r="H41" s="44">
        <v>3.05</v>
      </c>
    </row>
    <row r="42" spans="1:8" ht="34" x14ac:dyDescent="0.2">
      <c r="B42" s="10" t="s">
        <v>97</v>
      </c>
      <c r="C42" s="32" t="s">
        <v>98</v>
      </c>
      <c r="D42" s="32">
        <v>0.28000000000000003</v>
      </c>
      <c r="E42" s="32">
        <v>6.99</v>
      </c>
      <c r="F42" s="44" t="s">
        <v>99</v>
      </c>
      <c r="G42" s="44">
        <v>2.4900000000000002</v>
      </c>
      <c r="H42" s="44">
        <v>9.9600000000000009</v>
      </c>
    </row>
    <row r="43" spans="1:8" ht="17" x14ac:dyDescent="0.2">
      <c r="B43" s="16" t="s">
        <v>100</v>
      </c>
      <c r="C43" s="33" t="s">
        <v>101</v>
      </c>
      <c r="D43" s="33">
        <v>10</v>
      </c>
      <c r="E43" s="33">
        <v>10</v>
      </c>
      <c r="F43" s="45" t="s">
        <v>101</v>
      </c>
      <c r="G43" s="45">
        <v>10</v>
      </c>
      <c r="H43" s="45">
        <v>10</v>
      </c>
    </row>
    <row r="44" spans="1:8" x14ac:dyDescent="0.2">
      <c r="A44" s="9">
        <v>5</v>
      </c>
      <c r="C44" s="31"/>
      <c r="D44" s="31"/>
      <c r="E44" s="31"/>
      <c r="F44" s="42"/>
      <c r="G44" s="42"/>
      <c r="H44" s="42"/>
    </row>
    <row r="45" spans="1:8" s="4" customFormat="1" ht="20" x14ac:dyDescent="0.2">
      <c r="A45" s="12" t="s">
        <v>102</v>
      </c>
    </row>
    <row r="46" spans="1:8" ht="17" x14ac:dyDescent="0.2">
      <c r="B46" s="11" t="s">
        <v>103</v>
      </c>
      <c r="C46" s="36" t="s">
        <v>104</v>
      </c>
      <c r="D46" s="36">
        <v>1.19</v>
      </c>
      <c r="E46" s="36">
        <v>1.19</v>
      </c>
      <c r="F46" s="47" t="s">
        <v>105</v>
      </c>
      <c r="G46" s="47">
        <v>2.99</v>
      </c>
      <c r="H46" s="47">
        <v>2.99</v>
      </c>
    </row>
    <row r="47" spans="1:8" ht="17" x14ac:dyDescent="0.2">
      <c r="B47" s="11" t="s">
        <v>106</v>
      </c>
      <c r="C47" s="36" t="s">
        <v>107</v>
      </c>
      <c r="D47" s="36">
        <v>1.79</v>
      </c>
      <c r="E47" s="36">
        <v>1.79</v>
      </c>
      <c r="F47" s="48" t="s">
        <v>108</v>
      </c>
      <c r="G47" s="48">
        <v>2.19</v>
      </c>
      <c r="H47" s="48">
        <v>3.65</v>
      </c>
    </row>
    <row r="48" spans="1:8" ht="34" x14ac:dyDescent="0.2">
      <c r="B48" s="11" t="s">
        <v>109</v>
      </c>
      <c r="C48" s="36" t="s">
        <v>110</v>
      </c>
      <c r="D48" s="36">
        <v>0.5</v>
      </c>
      <c r="E48" s="36">
        <v>4.99</v>
      </c>
      <c r="F48" s="49" t="s">
        <v>110</v>
      </c>
      <c r="G48" s="49">
        <v>0.5</v>
      </c>
      <c r="H48" s="49">
        <v>4.99</v>
      </c>
    </row>
    <row r="49" spans="1:8" ht="34" x14ac:dyDescent="0.2">
      <c r="B49" s="11" t="s">
        <v>111</v>
      </c>
      <c r="C49" s="36" t="s">
        <v>112</v>
      </c>
      <c r="D49" s="36">
        <v>3.99</v>
      </c>
      <c r="E49" s="36">
        <v>7.98</v>
      </c>
      <c r="F49" s="47" t="s">
        <v>113</v>
      </c>
      <c r="G49" s="47">
        <v>3.19</v>
      </c>
      <c r="H49" s="47">
        <v>10.63</v>
      </c>
    </row>
    <row r="50" spans="1:8" ht="34" x14ac:dyDescent="0.2">
      <c r="B50" s="11" t="s">
        <v>114</v>
      </c>
      <c r="C50" s="36" t="s">
        <v>115</v>
      </c>
      <c r="D50" s="36">
        <v>2.99</v>
      </c>
      <c r="E50" s="36">
        <v>5.98</v>
      </c>
      <c r="F50" s="47" t="s">
        <v>116</v>
      </c>
      <c r="G50" s="47">
        <v>3.19</v>
      </c>
      <c r="H50" s="47">
        <v>10.63</v>
      </c>
    </row>
    <row r="51" spans="1:8" ht="34" x14ac:dyDescent="0.2">
      <c r="B51" s="11" t="s">
        <v>117</v>
      </c>
      <c r="C51" s="37" t="s">
        <v>118</v>
      </c>
      <c r="D51" s="36">
        <v>2.79</v>
      </c>
      <c r="E51" s="36">
        <v>5.58</v>
      </c>
      <c r="F51" s="50" t="s">
        <v>118</v>
      </c>
      <c r="G51" s="49">
        <v>2.79</v>
      </c>
      <c r="H51" s="49">
        <v>5.58</v>
      </c>
    </row>
    <row r="52" spans="1:8" ht="17" x14ac:dyDescent="0.2">
      <c r="B52" s="11" t="s">
        <v>119</v>
      </c>
      <c r="C52" s="36" t="s">
        <v>120</v>
      </c>
      <c r="D52" s="36">
        <v>1.79</v>
      </c>
      <c r="E52" s="36">
        <v>3.58</v>
      </c>
      <c r="F52" s="49" t="s">
        <v>120</v>
      </c>
      <c r="G52" s="49">
        <v>1.79</v>
      </c>
      <c r="H52" s="49">
        <v>3.58</v>
      </c>
    </row>
    <row r="53" spans="1:8" ht="17" x14ac:dyDescent="0.2">
      <c r="B53" s="11" t="s">
        <v>121</v>
      </c>
      <c r="C53" s="31" t="s">
        <v>122</v>
      </c>
      <c r="D53" s="31">
        <v>0.26</v>
      </c>
      <c r="E53" s="36">
        <v>1.29</v>
      </c>
      <c r="F53" s="47" t="s">
        <v>123</v>
      </c>
      <c r="G53" s="47">
        <v>0.4</v>
      </c>
      <c r="H53" s="47">
        <v>1.99</v>
      </c>
    </row>
    <row r="54" spans="1:8" ht="17" x14ac:dyDescent="0.2">
      <c r="B54" s="1" t="s">
        <v>124</v>
      </c>
      <c r="C54" s="31" t="s">
        <v>125</v>
      </c>
      <c r="D54" s="31">
        <v>2.99</v>
      </c>
      <c r="E54" s="31">
        <v>5.98</v>
      </c>
      <c r="F54" s="51" t="s">
        <v>125</v>
      </c>
      <c r="G54" s="51">
        <v>2.99</v>
      </c>
      <c r="H54" s="51">
        <v>5.98</v>
      </c>
    </row>
    <row r="55" spans="1:8" ht="17" x14ac:dyDescent="0.2">
      <c r="B55" s="11" t="s">
        <v>126</v>
      </c>
      <c r="C55" s="31" t="s">
        <v>127</v>
      </c>
      <c r="D55" s="31">
        <v>2.4900000000000002</v>
      </c>
      <c r="E55" s="31">
        <v>4.9800000000000004</v>
      </c>
      <c r="F55" s="51" t="s">
        <v>127</v>
      </c>
      <c r="G55" s="51">
        <v>2.4900000000000002</v>
      </c>
      <c r="H55" s="51">
        <v>4.9800000000000004</v>
      </c>
    </row>
    <row r="56" spans="1:8" x14ac:dyDescent="0.2">
      <c r="A56" s="9">
        <v>10</v>
      </c>
      <c r="B56" s="11"/>
      <c r="C56" s="31"/>
      <c r="D56" s="31"/>
      <c r="E56" s="31"/>
      <c r="F56" s="42"/>
      <c r="G56" s="42"/>
      <c r="H56" s="42"/>
    </row>
    <row r="57" spans="1:8" s="4" customFormat="1" ht="20" x14ac:dyDescent="0.2">
      <c r="A57" s="12" t="s">
        <v>128</v>
      </c>
    </row>
    <row r="58" spans="1:8" ht="34" x14ac:dyDescent="0.2">
      <c r="B58" s="1" t="s">
        <v>129</v>
      </c>
      <c r="C58" s="31" t="s">
        <v>130</v>
      </c>
      <c r="D58" s="31">
        <v>1.05</v>
      </c>
      <c r="E58" s="31">
        <v>1.05</v>
      </c>
      <c r="F58" s="42" t="s">
        <v>131</v>
      </c>
      <c r="G58" s="42">
        <v>1.25</v>
      </c>
      <c r="H58" s="42">
        <v>1.25</v>
      </c>
    </row>
    <row r="59" spans="1:8" ht="34" x14ac:dyDescent="0.2">
      <c r="B59" s="1" t="s">
        <v>132</v>
      </c>
      <c r="C59" s="31" t="s">
        <v>133</v>
      </c>
      <c r="D59" s="31">
        <v>0.85</v>
      </c>
      <c r="E59" s="31">
        <v>1.7</v>
      </c>
      <c r="F59" s="42" t="s">
        <v>134</v>
      </c>
      <c r="G59" s="42">
        <v>1.19</v>
      </c>
      <c r="H59" s="42">
        <v>2.38</v>
      </c>
    </row>
    <row r="60" spans="1:8" ht="34" x14ac:dyDescent="0.2">
      <c r="B60" s="1" t="s">
        <v>135</v>
      </c>
      <c r="C60" s="31" t="s">
        <v>136</v>
      </c>
      <c r="D60" s="31">
        <v>1.39</v>
      </c>
      <c r="E60" s="31">
        <v>4.63</v>
      </c>
      <c r="F60" s="42" t="s">
        <v>137</v>
      </c>
      <c r="G60" s="42">
        <v>1.29</v>
      </c>
      <c r="H60" s="42">
        <v>7.37</v>
      </c>
    </row>
    <row r="61" spans="1:8" ht="34" x14ac:dyDescent="0.2">
      <c r="B61" s="1" t="s">
        <v>138</v>
      </c>
      <c r="C61" s="31" t="s">
        <v>139</v>
      </c>
      <c r="D61" s="31">
        <v>1.49</v>
      </c>
      <c r="E61" s="31">
        <v>2.98</v>
      </c>
      <c r="F61" s="42" t="s">
        <v>140</v>
      </c>
      <c r="G61" s="42">
        <v>1.05</v>
      </c>
      <c r="H61" s="42">
        <v>4.2</v>
      </c>
    </row>
    <row r="62" spans="1:8" ht="33" customHeight="1" x14ac:dyDescent="0.2">
      <c r="B62" s="1" t="s">
        <v>141</v>
      </c>
      <c r="C62" s="31" t="s">
        <v>142</v>
      </c>
      <c r="D62" s="31">
        <v>0.99</v>
      </c>
      <c r="E62" s="31">
        <v>7.92</v>
      </c>
      <c r="F62" s="42" t="s">
        <v>143</v>
      </c>
      <c r="G62" s="42">
        <v>1.29</v>
      </c>
      <c r="H62" s="42">
        <v>10.32</v>
      </c>
    </row>
    <row r="63" spans="1:8" ht="34" x14ac:dyDescent="0.2">
      <c r="B63" s="1" t="s">
        <v>144</v>
      </c>
      <c r="C63" s="31" t="s">
        <v>145</v>
      </c>
      <c r="D63" s="31">
        <v>0.69</v>
      </c>
      <c r="E63" s="31">
        <v>3.45</v>
      </c>
      <c r="F63" s="42" t="s">
        <v>146</v>
      </c>
      <c r="G63" s="42">
        <v>0.89</v>
      </c>
      <c r="H63" s="42">
        <v>4.45</v>
      </c>
    </row>
    <row r="64" spans="1:8" ht="34" x14ac:dyDescent="0.2">
      <c r="B64" s="1" t="s">
        <v>147</v>
      </c>
      <c r="C64" s="31" t="s">
        <v>148</v>
      </c>
      <c r="D64" s="31">
        <v>2.99</v>
      </c>
      <c r="E64" s="31">
        <v>7.48</v>
      </c>
      <c r="F64" s="42" t="s">
        <v>149</v>
      </c>
      <c r="G64" s="42">
        <v>1.89</v>
      </c>
      <c r="H64" s="42">
        <v>12.6</v>
      </c>
    </row>
    <row r="65" spans="1:8" ht="20" x14ac:dyDescent="0.2">
      <c r="B65" s="1" t="s">
        <v>150</v>
      </c>
      <c r="C65" s="31" t="s">
        <v>151</v>
      </c>
      <c r="D65" s="31">
        <v>2.89</v>
      </c>
      <c r="E65" s="31">
        <v>11.56</v>
      </c>
      <c r="F65" s="42" t="s">
        <v>152</v>
      </c>
      <c r="G65" s="42">
        <v>2.19</v>
      </c>
      <c r="H65" s="42">
        <v>14.6</v>
      </c>
    </row>
    <row r="66" spans="1:8" ht="34" x14ac:dyDescent="0.2">
      <c r="B66" s="1" t="s">
        <v>153</v>
      </c>
      <c r="C66" s="31" t="s">
        <v>154</v>
      </c>
      <c r="D66" s="31">
        <v>1.99</v>
      </c>
      <c r="E66" s="31">
        <v>9.9499999999999993</v>
      </c>
      <c r="F66" s="42" t="s">
        <v>155</v>
      </c>
      <c r="G66" s="42">
        <v>1.99</v>
      </c>
      <c r="H66" s="42">
        <v>13.27</v>
      </c>
    </row>
    <row r="67" spans="1:8" x14ac:dyDescent="0.2">
      <c r="A67" s="9">
        <v>9</v>
      </c>
      <c r="C67" s="31"/>
      <c r="D67" s="31"/>
      <c r="E67" s="31"/>
      <c r="F67" s="42"/>
      <c r="G67" s="42"/>
      <c r="H67" s="42"/>
    </row>
    <row r="68" spans="1:8" s="4" customFormat="1" ht="17" x14ac:dyDescent="0.2">
      <c r="A68" s="12" t="s">
        <v>156</v>
      </c>
      <c r="B68" s="12" t="s">
        <v>157</v>
      </c>
    </row>
    <row r="69" spans="1:8" ht="34" x14ac:dyDescent="0.2">
      <c r="B69" s="1" t="s">
        <v>158</v>
      </c>
      <c r="C69" s="31" t="s">
        <v>159</v>
      </c>
      <c r="D69" s="31">
        <v>3.49</v>
      </c>
      <c r="E69" s="31">
        <v>13.96</v>
      </c>
      <c r="F69" s="42" t="s">
        <v>160</v>
      </c>
      <c r="G69" s="42">
        <v>1.59</v>
      </c>
      <c r="H69" s="42">
        <v>15.9</v>
      </c>
    </row>
    <row r="70" spans="1:8" x14ac:dyDescent="0.2">
      <c r="A70" s="9">
        <v>1</v>
      </c>
      <c r="C70" s="31"/>
      <c r="D70" s="31"/>
      <c r="E70" s="31"/>
      <c r="F70" s="42"/>
      <c r="G70" s="42"/>
      <c r="H70" s="42"/>
    </row>
    <row r="71" spans="1:8" s="4" customFormat="1" ht="17" x14ac:dyDescent="0.2">
      <c r="A71" s="12"/>
      <c r="B71" s="12" t="s">
        <v>161</v>
      </c>
    </row>
    <row r="72" spans="1:8" ht="34" x14ac:dyDescent="0.2">
      <c r="B72" s="1" t="s">
        <v>162</v>
      </c>
      <c r="C72" s="31" t="s">
        <v>163</v>
      </c>
      <c r="D72" s="31">
        <v>5.39</v>
      </c>
      <c r="E72" s="31">
        <v>8.98</v>
      </c>
      <c r="F72" s="42" t="s">
        <v>164</v>
      </c>
      <c r="G72" s="42">
        <v>8.7899999999999991</v>
      </c>
      <c r="H72" s="42">
        <v>29.9</v>
      </c>
    </row>
    <row r="73" spans="1:8" x14ac:dyDescent="0.2">
      <c r="A73" s="9">
        <v>1</v>
      </c>
      <c r="C73" s="31"/>
      <c r="D73" s="31"/>
      <c r="E73" s="31"/>
      <c r="F73" s="42"/>
      <c r="G73" s="42"/>
      <c r="H73" s="42"/>
    </row>
    <row r="74" spans="1:8" s="4" customFormat="1" ht="17" x14ac:dyDescent="0.2">
      <c r="A74" s="12"/>
      <c r="B74" s="12" t="s">
        <v>165</v>
      </c>
    </row>
    <row r="75" spans="1:8" ht="34" x14ac:dyDescent="0.2">
      <c r="B75" s="1" t="s">
        <v>166</v>
      </c>
      <c r="C75" s="31" t="s">
        <v>167</v>
      </c>
      <c r="D75" s="31">
        <v>5.99</v>
      </c>
      <c r="E75" s="31">
        <v>9.98</v>
      </c>
      <c r="F75" s="42" t="s">
        <v>168</v>
      </c>
      <c r="G75" s="42">
        <v>11.17</v>
      </c>
      <c r="H75" s="42">
        <v>34.9</v>
      </c>
    </row>
    <row r="76" spans="1:8" x14ac:dyDescent="0.2">
      <c r="A76" s="9">
        <v>1</v>
      </c>
      <c r="C76" s="31"/>
      <c r="D76" s="31"/>
      <c r="E76" s="31"/>
      <c r="F76" s="42"/>
      <c r="G76" s="42"/>
      <c r="H76" s="42"/>
    </row>
    <row r="77" spans="1:8" s="4" customFormat="1" ht="17" x14ac:dyDescent="0.2">
      <c r="A77" s="12"/>
      <c r="B77" s="12" t="s">
        <v>169</v>
      </c>
    </row>
    <row r="78" spans="1:8" ht="34" x14ac:dyDescent="0.2">
      <c r="A78" s="1"/>
      <c r="B78" s="1" t="s">
        <v>170</v>
      </c>
      <c r="C78" s="31" t="s">
        <v>171</v>
      </c>
      <c r="D78" s="31">
        <v>1.99</v>
      </c>
      <c r="E78" s="31">
        <f>1000/500*D78</f>
        <v>3.98</v>
      </c>
      <c r="F78" s="42" t="s">
        <v>172</v>
      </c>
      <c r="G78" s="42">
        <v>2.39</v>
      </c>
      <c r="H78" s="42">
        <f>1000/300*G78</f>
        <v>7.9666666666666677</v>
      </c>
    </row>
    <row r="79" spans="1:8" x14ac:dyDescent="0.2">
      <c r="A79" s="9">
        <v>1</v>
      </c>
      <c r="C79" s="31"/>
      <c r="D79" s="31"/>
      <c r="E79" s="31"/>
      <c r="F79" s="42"/>
      <c r="G79" s="42"/>
      <c r="H79" s="42"/>
    </row>
    <row r="80" spans="1:8" s="4" customFormat="1" ht="20" x14ac:dyDescent="0.2">
      <c r="A80" s="12"/>
      <c r="B80" s="12" t="s">
        <v>173</v>
      </c>
    </row>
    <row r="81" spans="1:8" ht="34" x14ac:dyDescent="0.2">
      <c r="B81" s="1" t="s">
        <v>174</v>
      </c>
      <c r="C81" s="31" t="s">
        <v>175</v>
      </c>
      <c r="D81" s="31">
        <v>5.99</v>
      </c>
      <c r="E81" s="31">
        <v>23.96</v>
      </c>
      <c r="F81" s="42" t="s">
        <v>176</v>
      </c>
      <c r="G81" s="42">
        <v>7.99</v>
      </c>
      <c r="H81" s="42">
        <v>31.96</v>
      </c>
    </row>
    <row r="82" spans="1:8" ht="34" x14ac:dyDescent="0.2">
      <c r="B82" s="1" t="s">
        <v>177</v>
      </c>
      <c r="C82" s="38" t="s">
        <v>178</v>
      </c>
      <c r="D82" s="38">
        <v>7.49</v>
      </c>
      <c r="E82" s="38">
        <v>7.49</v>
      </c>
      <c r="F82" s="52" t="s">
        <v>178</v>
      </c>
      <c r="G82" s="52">
        <v>7.49</v>
      </c>
      <c r="H82" s="52">
        <v>7.49</v>
      </c>
    </row>
    <row r="83" spans="1:8" ht="51" x14ac:dyDescent="0.2">
      <c r="B83" s="1" t="s">
        <v>179</v>
      </c>
      <c r="C83" s="31" t="s">
        <v>180</v>
      </c>
      <c r="D83" s="31">
        <v>1.49</v>
      </c>
      <c r="E83" s="31">
        <f>1000/195*D83</f>
        <v>7.6410256410256414</v>
      </c>
      <c r="F83" s="42" t="s">
        <v>181</v>
      </c>
      <c r="G83" s="42">
        <v>3.29</v>
      </c>
      <c r="H83" s="42">
        <f>1000/160*G83</f>
        <v>20.5625</v>
      </c>
    </row>
    <row r="84" spans="1:8" x14ac:dyDescent="0.2">
      <c r="A84" s="9">
        <v>3</v>
      </c>
      <c r="C84" s="31"/>
      <c r="D84" s="31"/>
      <c r="E84" s="31"/>
      <c r="F84" s="42"/>
      <c r="G84" s="42"/>
      <c r="H84" s="42"/>
    </row>
    <row r="85" spans="1:8" s="4" customFormat="1" ht="20" x14ac:dyDescent="0.2">
      <c r="A85" s="12"/>
      <c r="B85" s="12" t="s">
        <v>182</v>
      </c>
    </row>
    <row r="86" spans="1:8" ht="17" x14ac:dyDescent="0.2">
      <c r="B86" s="1" t="s">
        <v>183</v>
      </c>
      <c r="C86" s="31" t="s">
        <v>184</v>
      </c>
      <c r="D86" s="31">
        <v>2.29</v>
      </c>
      <c r="E86" s="31">
        <v>4.58</v>
      </c>
      <c r="F86" s="42" t="s">
        <v>185</v>
      </c>
      <c r="G86" s="42">
        <v>1.65</v>
      </c>
      <c r="H86" s="42">
        <v>3.3</v>
      </c>
    </row>
    <row r="87" spans="1:8" ht="34" x14ac:dyDescent="0.2">
      <c r="B87" s="1" t="s">
        <v>186</v>
      </c>
      <c r="C87" s="31" t="s">
        <v>187</v>
      </c>
      <c r="D87" s="31">
        <v>1.19</v>
      </c>
      <c r="E87" s="31">
        <f>1000/400*D87</f>
        <v>2.9749999999999996</v>
      </c>
      <c r="F87" s="42" t="s">
        <v>188</v>
      </c>
      <c r="G87" s="42">
        <v>1.29</v>
      </c>
      <c r="H87" s="42">
        <f>1000/360*G87</f>
        <v>3.5833333333333335</v>
      </c>
    </row>
    <row r="88" spans="1:8" ht="34" x14ac:dyDescent="0.2">
      <c r="B88" s="1" t="s">
        <v>189</v>
      </c>
      <c r="C88" s="31" t="s">
        <v>190</v>
      </c>
      <c r="D88" s="31">
        <v>0.69</v>
      </c>
      <c r="E88" s="31">
        <f>1000/400*D88</f>
        <v>1.7249999999999999</v>
      </c>
      <c r="F88" s="42" t="s">
        <v>191</v>
      </c>
      <c r="G88" s="42">
        <v>0.99</v>
      </c>
      <c r="H88" s="42">
        <f>1000/360*G88</f>
        <v>2.75</v>
      </c>
    </row>
    <row r="89" spans="1:8" ht="17" x14ac:dyDescent="0.2">
      <c r="B89" s="1" t="s">
        <v>192</v>
      </c>
      <c r="C89" s="31" t="s">
        <v>193</v>
      </c>
      <c r="D89" s="31">
        <v>1.99</v>
      </c>
      <c r="E89" s="31">
        <v>1.99</v>
      </c>
      <c r="F89" s="42" t="s">
        <v>194</v>
      </c>
      <c r="G89" s="42">
        <v>1.79</v>
      </c>
      <c r="H89" s="42">
        <v>3.98</v>
      </c>
    </row>
    <row r="90" spans="1:8" ht="34" x14ac:dyDescent="0.2">
      <c r="B90" s="1" t="s">
        <v>195</v>
      </c>
      <c r="C90" s="31" t="s">
        <v>196</v>
      </c>
      <c r="D90" s="31">
        <v>0.69</v>
      </c>
      <c r="E90" s="31">
        <f>1000/400*D90</f>
        <v>1.7249999999999999</v>
      </c>
      <c r="F90" s="42" t="s">
        <v>197</v>
      </c>
      <c r="G90" s="42">
        <v>0.99</v>
      </c>
      <c r="H90" s="42">
        <f>1000/330*G90</f>
        <v>3</v>
      </c>
    </row>
    <row r="91" spans="1:8" ht="51" x14ac:dyDescent="0.2">
      <c r="A91" s="1"/>
      <c r="B91" s="1" t="s">
        <v>198</v>
      </c>
      <c r="C91" s="31" t="s">
        <v>199</v>
      </c>
      <c r="D91" s="31">
        <v>1.39</v>
      </c>
      <c r="E91" s="31">
        <f>1000/680*D91</f>
        <v>2.0441176470588234</v>
      </c>
      <c r="F91" s="51" t="s">
        <v>199</v>
      </c>
      <c r="G91" s="51">
        <v>1.39</v>
      </c>
      <c r="H91" s="42">
        <f>1000/680*G91</f>
        <v>2.0441176470588234</v>
      </c>
    </row>
    <row r="92" spans="1:8" x14ac:dyDescent="0.2">
      <c r="A92" s="9">
        <v>6</v>
      </c>
      <c r="C92" s="31"/>
      <c r="D92" s="31"/>
      <c r="E92" s="31"/>
      <c r="F92" s="42"/>
      <c r="G92" s="42"/>
      <c r="H92" s="42"/>
    </row>
    <row r="93" spans="1:8" s="4" customFormat="1" ht="17" x14ac:dyDescent="0.2">
      <c r="A93" s="12"/>
      <c r="B93" s="12" t="s">
        <v>200</v>
      </c>
    </row>
    <row r="94" spans="1:8" ht="34" x14ac:dyDescent="0.2">
      <c r="B94" s="1" t="s">
        <v>201</v>
      </c>
      <c r="C94" s="39" t="s">
        <v>202</v>
      </c>
      <c r="D94" s="39">
        <v>2.19</v>
      </c>
      <c r="E94" s="39">
        <v>5.48</v>
      </c>
      <c r="F94" s="42" t="s">
        <v>202</v>
      </c>
      <c r="G94" s="42">
        <v>2.19</v>
      </c>
      <c r="H94" s="42">
        <v>5.48</v>
      </c>
    </row>
    <row r="95" spans="1:8" ht="34" x14ac:dyDescent="0.2">
      <c r="B95" s="1" t="s">
        <v>203</v>
      </c>
      <c r="C95" s="39" t="s">
        <v>204</v>
      </c>
      <c r="D95" s="39">
        <v>2.19</v>
      </c>
      <c r="E95" s="39">
        <v>6.26</v>
      </c>
      <c r="F95" s="42" t="s">
        <v>204</v>
      </c>
      <c r="G95" s="42">
        <v>2.19</v>
      </c>
      <c r="H95" s="42">
        <v>6.26</v>
      </c>
    </row>
    <row r="96" spans="1:8" x14ac:dyDescent="0.2">
      <c r="A96" s="9">
        <v>2</v>
      </c>
      <c r="C96" s="31"/>
      <c r="D96" s="31"/>
      <c r="E96" s="31"/>
      <c r="F96" s="42"/>
      <c r="G96" s="42"/>
      <c r="H96" s="42"/>
    </row>
    <row r="97" spans="1:8" s="4" customFormat="1" ht="17" x14ac:dyDescent="0.2">
      <c r="A97" s="12"/>
      <c r="B97" s="12" t="s">
        <v>205</v>
      </c>
    </row>
    <row r="98" spans="1:8" s="4" customFormat="1" ht="17" x14ac:dyDescent="0.2">
      <c r="A98" s="12"/>
      <c r="B98" s="12" t="s">
        <v>206</v>
      </c>
    </row>
    <row r="99" spans="1:8" ht="17" x14ac:dyDescent="0.2">
      <c r="A99" s="1"/>
      <c r="B99" s="1" t="s">
        <v>207</v>
      </c>
      <c r="C99" s="31" t="s">
        <v>208</v>
      </c>
      <c r="D99" s="31">
        <v>1.99</v>
      </c>
      <c r="E99" s="31">
        <v>4.9800000000000004</v>
      </c>
      <c r="F99" s="51" t="s">
        <v>208</v>
      </c>
      <c r="G99" s="51">
        <v>1.99</v>
      </c>
      <c r="H99" s="51">
        <v>4.9800000000000004</v>
      </c>
    </row>
    <row r="100" spans="1:8" x14ac:dyDescent="0.2">
      <c r="A100" s="9">
        <v>1</v>
      </c>
      <c r="C100" s="31"/>
      <c r="D100" s="31"/>
      <c r="E100" s="31"/>
      <c r="F100" s="51"/>
      <c r="G100" s="51"/>
      <c r="H100" s="51"/>
    </row>
    <row r="101" spans="1:8" s="4" customFormat="1" ht="20" x14ac:dyDescent="0.2">
      <c r="A101" s="12"/>
      <c r="B101" s="12" t="s">
        <v>209</v>
      </c>
    </row>
    <row r="102" spans="1:8" ht="17" x14ac:dyDescent="0.2">
      <c r="B102" s="1" t="s">
        <v>210</v>
      </c>
      <c r="C102" s="31" t="s">
        <v>211</v>
      </c>
      <c r="D102" s="31">
        <v>2.29</v>
      </c>
      <c r="E102" s="31">
        <v>11.45</v>
      </c>
      <c r="F102" s="42" t="s">
        <v>212</v>
      </c>
      <c r="G102" s="42">
        <v>3.59</v>
      </c>
      <c r="H102" s="42">
        <v>17.95</v>
      </c>
    </row>
    <row r="103" spans="1:8" ht="17" x14ac:dyDescent="0.2">
      <c r="B103" s="1" t="s">
        <v>213</v>
      </c>
      <c r="C103" s="31" t="s">
        <v>214</v>
      </c>
      <c r="D103" s="31">
        <v>2.29</v>
      </c>
      <c r="E103" s="31">
        <v>11.45</v>
      </c>
      <c r="F103" s="51" t="s">
        <v>214</v>
      </c>
      <c r="G103" s="51">
        <v>2.29</v>
      </c>
      <c r="H103" s="51">
        <v>11.45</v>
      </c>
    </row>
    <row r="104" spans="1:8" x14ac:dyDescent="0.2">
      <c r="A104" s="9">
        <v>2</v>
      </c>
      <c r="C104" s="31"/>
      <c r="D104" s="31"/>
      <c r="E104" s="31"/>
      <c r="F104" s="42"/>
      <c r="G104" s="42"/>
      <c r="H104" s="42"/>
    </row>
    <row r="105" spans="1:8" s="4" customFormat="1" ht="17" customHeight="1" x14ac:dyDescent="0.2">
      <c r="A105" s="12" t="s">
        <v>215</v>
      </c>
    </row>
    <row r="106" spans="1:8" ht="51" x14ac:dyDescent="0.2">
      <c r="B106" s="1" t="s">
        <v>216</v>
      </c>
      <c r="C106" s="31" t="s">
        <v>217</v>
      </c>
      <c r="D106" s="31">
        <v>1.49</v>
      </c>
      <c r="E106" s="31">
        <v>2.98</v>
      </c>
      <c r="F106" s="42" t="s">
        <v>218</v>
      </c>
      <c r="G106" s="42">
        <v>1.79</v>
      </c>
      <c r="H106" s="42">
        <v>7.16</v>
      </c>
    </row>
    <row r="107" spans="1:8" x14ac:dyDescent="0.2">
      <c r="A107" s="9">
        <v>1</v>
      </c>
      <c r="C107" s="31"/>
      <c r="D107" s="31"/>
      <c r="E107" s="31"/>
      <c r="F107" s="42"/>
      <c r="G107" s="42"/>
      <c r="H107" s="42"/>
    </row>
    <row r="108" spans="1:8" s="4" customFormat="1" ht="17" x14ac:dyDescent="0.2">
      <c r="A108" s="12"/>
      <c r="B108" s="12" t="s">
        <v>219</v>
      </c>
    </row>
    <row r="109" spans="1:8" ht="17" x14ac:dyDescent="0.2">
      <c r="B109" s="1" t="s">
        <v>220</v>
      </c>
      <c r="C109" s="31" t="s">
        <v>221</v>
      </c>
      <c r="D109" s="31">
        <v>1.89</v>
      </c>
      <c r="E109" s="31">
        <v>3.78</v>
      </c>
      <c r="F109" s="42" t="s">
        <v>222</v>
      </c>
      <c r="G109" s="42">
        <v>1.75</v>
      </c>
      <c r="H109" s="42">
        <v>3.5</v>
      </c>
    </row>
    <row r="110" spans="1:8" ht="34" x14ac:dyDescent="0.2">
      <c r="B110" s="1" t="s">
        <v>223</v>
      </c>
      <c r="C110" s="31" t="s">
        <v>224</v>
      </c>
      <c r="D110" s="31">
        <v>8.99</v>
      </c>
      <c r="E110" s="31">
        <v>8.99</v>
      </c>
      <c r="F110" s="42" t="s">
        <v>225</v>
      </c>
      <c r="G110" s="42">
        <v>7.29</v>
      </c>
      <c r="H110" s="42">
        <v>14.58</v>
      </c>
    </row>
    <row r="111" spans="1:8" ht="17" x14ac:dyDescent="0.2">
      <c r="A111" s="1"/>
      <c r="B111" s="1" t="s">
        <v>226</v>
      </c>
      <c r="C111" s="31" t="s">
        <v>227</v>
      </c>
      <c r="D111" s="31">
        <v>2.59</v>
      </c>
      <c r="E111" s="31">
        <v>10.36</v>
      </c>
      <c r="F111" s="42" t="s">
        <v>228</v>
      </c>
      <c r="G111" s="42">
        <v>3.99</v>
      </c>
      <c r="H111" s="42">
        <v>15.96</v>
      </c>
    </row>
    <row r="112" spans="1:8" x14ac:dyDescent="0.2">
      <c r="A112" s="9">
        <v>3</v>
      </c>
      <c r="C112" s="31"/>
      <c r="D112" s="31"/>
      <c r="E112" s="31"/>
      <c r="F112" s="42"/>
      <c r="G112" s="42"/>
      <c r="H112" s="42"/>
    </row>
    <row r="113" spans="1:8" s="4" customFormat="1" ht="17" x14ac:dyDescent="0.2">
      <c r="A113" s="12"/>
      <c r="B113" s="12" t="s">
        <v>229</v>
      </c>
    </row>
    <row r="114" spans="1:8" ht="68" x14ac:dyDescent="0.2">
      <c r="B114" s="1" t="s">
        <v>230</v>
      </c>
      <c r="C114" s="31" t="s">
        <v>231</v>
      </c>
      <c r="D114" s="31">
        <v>1.45</v>
      </c>
      <c r="E114" s="31">
        <v>5.8</v>
      </c>
      <c r="F114" s="42" t="s">
        <v>232</v>
      </c>
      <c r="G114" s="42">
        <v>2.99</v>
      </c>
      <c r="H114" s="42">
        <v>11.96</v>
      </c>
    </row>
    <row r="115" spans="1:8" x14ac:dyDescent="0.2">
      <c r="A115" s="9">
        <v>1</v>
      </c>
      <c r="C115" s="31"/>
      <c r="D115" s="31"/>
      <c r="E115" s="31"/>
      <c r="F115" s="42"/>
      <c r="G115" s="42"/>
      <c r="H115" s="42"/>
    </row>
    <row r="116" spans="1:8" s="4" customFormat="1" ht="25" customHeight="1" x14ac:dyDescent="0.2">
      <c r="A116" s="12" t="s">
        <v>233</v>
      </c>
    </row>
    <row r="117" spans="1:8" ht="17" x14ac:dyDescent="0.2">
      <c r="A117" s="20"/>
      <c r="B117" s="1" t="s">
        <v>234</v>
      </c>
      <c r="C117" s="31" t="s">
        <v>235</v>
      </c>
      <c r="D117" s="31">
        <v>1.49</v>
      </c>
      <c r="E117" s="31">
        <v>1.49</v>
      </c>
      <c r="F117" s="42" t="s">
        <v>236</v>
      </c>
      <c r="G117" s="42">
        <v>2.59</v>
      </c>
      <c r="H117" s="42">
        <v>2.59</v>
      </c>
    </row>
    <row r="118" spans="1:8" ht="34" x14ac:dyDescent="0.2">
      <c r="B118" s="1" t="s">
        <v>237</v>
      </c>
      <c r="C118" s="31" t="s">
        <v>238</v>
      </c>
      <c r="D118" s="31">
        <v>0.59</v>
      </c>
      <c r="E118" s="31">
        <v>5.9</v>
      </c>
      <c r="F118" s="54" t="s">
        <v>239</v>
      </c>
      <c r="G118" s="42">
        <v>1.29</v>
      </c>
      <c r="H118" s="42">
        <v>12.9</v>
      </c>
    </row>
    <row r="119" spans="1:8" ht="34" x14ac:dyDescent="0.2">
      <c r="B119" s="1" t="s">
        <v>240</v>
      </c>
      <c r="C119" s="31" t="s">
        <v>241</v>
      </c>
      <c r="D119" s="31">
        <v>1.19</v>
      </c>
      <c r="E119" s="31">
        <v>3.66</v>
      </c>
      <c r="F119" s="42" t="s">
        <v>242</v>
      </c>
      <c r="G119" s="42">
        <v>1.49</v>
      </c>
      <c r="H119" s="42">
        <v>14.9</v>
      </c>
    </row>
    <row r="120" spans="1:8" x14ac:dyDescent="0.2">
      <c r="A120" s="9">
        <v>3</v>
      </c>
      <c r="B120" s="15"/>
      <c r="C120" s="40"/>
      <c r="D120" s="40"/>
      <c r="E120" s="40"/>
      <c r="F120" s="55"/>
      <c r="G120" s="55"/>
      <c r="H120" s="55"/>
    </row>
    <row r="121" spans="1:8" s="4" customFormat="1" ht="20" x14ac:dyDescent="0.2">
      <c r="A121" s="12" t="s">
        <v>612</v>
      </c>
    </row>
    <row r="122" spans="1:8" ht="34" x14ac:dyDescent="0.2">
      <c r="B122" s="1" t="s">
        <v>243</v>
      </c>
      <c r="C122" s="31" t="s">
        <v>244</v>
      </c>
      <c r="D122" s="31">
        <v>0.27</v>
      </c>
      <c r="E122" s="31">
        <v>0.18</v>
      </c>
      <c r="F122" s="51" t="s">
        <v>244</v>
      </c>
      <c r="G122" s="51">
        <v>0.27</v>
      </c>
      <c r="H122" s="51">
        <v>0.18</v>
      </c>
    </row>
    <row r="123" spans="1:8" ht="34" x14ac:dyDescent="0.2">
      <c r="B123" s="1" t="s">
        <v>245</v>
      </c>
      <c r="C123" s="31" t="s">
        <v>246</v>
      </c>
      <c r="D123" s="31">
        <v>3.49</v>
      </c>
      <c r="E123" s="31">
        <v>6.98</v>
      </c>
      <c r="F123" s="42" t="s">
        <v>247</v>
      </c>
      <c r="G123" s="42">
        <v>5.99</v>
      </c>
      <c r="H123" s="42">
        <v>11.98</v>
      </c>
    </row>
    <row r="124" spans="1:8" ht="34" x14ac:dyDescent="0.2">
      <c r="B124" s="1" t="s">
        <v>248</v>
      </c>
      <c r="C124" s="31" t="s">
        <v>249</v>
      </c>
      <c r="D124" s="31">
        <v>0.69</v>
      </c>
      <c r="E124" s="31">
        <v>12.27</v>
      </c>
      <c r="F124" s="42" t="s">
        <v>250</v>
      </c>
      <c r="G124" s="42">
        <v>2.69</v>
      </c>
      <c r="H124" s="42">
        <v>67.25</v>
      </c>
    </row>
    <row r="125" spans="1:8" ht="51" x14ac:dyDescent="0.2">
      <c r="B125" s="1" t="s">
        <v>251</v>
      </c>
      <c r="C125" s="31" t="s">
        <v>252</v>
      </c>
      <c r="D125" s="31">
        <v>8.99</v>
      </c>
      <c r="E125" s="31">
        <v>0.9</v>
      </c>
      <c r="F125" s="42" t="s">
        <v>253</v>
      </c>
      <c r="G125" s="42">
        <v>9.99</v>
      </c>
      <c r="H125" s="42">
        <v>2</v>
      </c>
    </row>
    <row r="126" spans="1:8" ht="34" x14ac:dyDescent="0.2">
      <c r="B126" s="1" t="s">
        <v>254</v>
      </c>
      <c r="C126" s="31" t="s">
        <v>255</v>
      </c>
      <c r="D126" s="31">
        <v>1.99</v>
      </c>
      <c r="E126" s="31">
        <v>2.65</v>
      </c>
      <c r="F126" s="42" t="s">
        <v>256</v>
      </c>
      <c r="G126" s="42">
        <v>3.99</v>
      </c>
      <c r="H126" s="42">
        <v>5.32</v>
      </c>
    </row>
    <row r="127" spans="1:8" x14ac:dyDescent="0.2">
      <c r="A127" s="9">
        <v>5</v>
      </c>
      <c r="C127" s="31"/>
      <c r="D127" s="31"/>
      <c r="E127" s="31"/>
      <c r="F127" s="42"/>
      <c r="G127" s="42"/>
      <c r="H127" s="42"/>
    </row>
    <row r="128" spans="1:8" ht="20" x14ac:dyDescent="0.2">
      <c r="A128" s="12" t="s">
        <v>611</v>
      </c>
      <c r="B128" s="4"/>
      <c r="C128" s="4"/>
      <c r="D128" s="4"/>
      <c r="E128" s="4"/>
      <c r="F128" s="4"/>
      <c r="G128" s="4"/>
      <c r="H128" s="4"/>
    </row>
    <row r="129" spans="1:8" ht="34" x14ac:dyDescent="0.2">
      <c r="B129" s="1" t="s">
        <v>243</v>
      </c>
      <c r="C129" s="31" t="s">
        <v>244</v>
      </c>
      <c r="D129" s="31">
        <v>0.27</v>
      </c>
      <c r="E129" s="31">
        <v>0.18</v>
      </c>
      <c r="F129" s="51" t="s">
        <v>244</v>
      </c>
      <c r="G129" s="51">
        <v>0.27</v>
      </c>
      <c r="H129" s="51">
        <v>0.18</v>
      </c>
    </row>
    <row r="130" spans="1:8" ht="34" x14ac:dyDescent="0.2">
      <c r="B130" s="1" t="s">
        <v>257</v>
      </c>
      <c r="C130" s="31" t="s">
        <v>249</v>
      </c>
      <c r="D130" s="31">
        <v>0.69</v>
      </c>
      <c r="E130" s="31">
        <v>12.27</v>
      </c>
      <c r="F130" s="42" t="s">
        <v>250</v>
      </c>
      <c r="G130" s="42">
        <v>2.69</v>
      </c>
      <c r="H130" s="42">
        <v>67.25</v>
      </c>
    </row>
    <row r="131" spans="1:8" ht="34" x14ac:dyDescent="0.2">
      <c r="B131" s="1" t="s">
        <v>258</v>
      </c>
      <c r="C131" s="31" t="s">
        <v>259</v>
      </c>
      <c r="D131" s="31">
        <v>0.59</v>
      </c>
      <c r="E131" s="31">
        <v>0.39</v>
      </c>
      <c r="F131" s="42" t="s">
        <v>260</v>
      </c>
      <c r="G131" s="42">
        <v>1.25</v>
      </c>
      <c r="H131" s="42">
        <v>3.79</v>
      </c>
    </row>
    <row r="132" spans="1:8" ht="34" x14ac:dyDescent="0.2">
      <c r="B132" s="1" t="s">
        <v>261</v>
      </c>
      <c r="C132" s="31" t="s">
        <v>262</v>
      </c>
      <c r="D132" s="31">
        <v>1.29</v>
      </c>
      <c r="E132" s="31">
        <v>1.29</v>
      </c>
      <c r="F132" s="42" t="s">
        <v>263</v>
      </c>
      <c r="G132" s="42">
        <v>2.39</v>
      </c>
      <c r="H132" s="42">
        <v>2.39</v>
      </c>
    </row>
    <row r="133" spans="1:8" x14ac:dyDescent="0.2">
      <c r="A133" s="9">
        <v>4</v>
      </c>
      <c r="C133" s="31"/>
      <c r="D133" s="31"/>
      <c r="E133" s="31"/>
      <c r="F133" s="42"/>
      <c r="G133" s="42"/>
      <c r="H133" s="42"/>
    </row>
    <row r="134" spans="1:8" ht="17" x14ac:dyDescent="0.2">
      <c r="A134" s="12" t="s">
        <v>264</v>
      </c>
      <c r="B134" s="4"/>
      <c r="C134" s="4"/>
      <c r="D134" s="4"/>
      <c r="E134" s="4"/>
      <c r="F134" s="4"/>
      <c r="G134" s="4"/>
      <c r="H134" s="4"/>
    </row>
    <row r="135" spans="1:8" x14ac:dyDescent="0.2">
      <c r="A135" s="9">
        <f>A127+A120+A115+A107+A104+A100+A96+A92+A84+A79+A76+A73+A70+A67+A56+A44+A37+A17+A14+A29+A112</f>
        <v>75</v>
      </c>
    </row>
    <row r="137" spans="1:8" ht="17" x14ac:dyDescent="0.2">
      <c r="A137" s="12" t="s">
        <v>265</v>
      </c>
      <c r="B137" s="4"/>
      <c r="C137" s="4"/>
      <c r="D137" s="4"/>
      <c r="E137" s="4"/>
      <c r="F137" s="4"/>
      <c r="G137" s="4"/>
      <c r="H137" s="4"/>
    </row>
    <row r="138" spans="1:8" x14ac:dyDescent="0.2">
      <c r="A138" s="9">
        <f>A133+A120+A92+A112+A107+A104+A100+A96+A84+A67+A79+A76+A73+A70+A56+A44+A37+A14+A17+A29+A115</f>
        <v>74</v>
      </c>
    </row>
    <row r="142" spans="1:8" x14ac:dyDescent="0.2">
      <c r="A142" s="388" t="s">
        <v>266</v>
      </c>
      <c r="B142" s="389"/>
      <c r="C142" s="389"/>
      <c r="D142" s="389"/>
      <c r="E142" s="389"/>
      <c r="F142" s="390"/>
    </row>
    <row r="143" spans="1:8" x14ac:dyDescent="0.2">
      <c r="A143" s="145"/>
      <c r="B143" s="391" t="s">
        <v>630</v>
      </c>
      <c r="C143" s="392"/>
      <c r="D143" s="392"/>
      <c r="E143" s="392"/>
      <c r="F143" s="393"/>
    </row>
    <row r="144" spans="1:8" x14ac:dyDescent="0.2">
      <c r="A144" s="146"/>
      <c r="B144" s="394" t="s">
        <v>629</v>
      </c>
      <c r="C144" s="395"/>
      <c r="D144" s="395"/>
      <c r="E144" s="395"/>
      <c r="F144" s="396"/>
    </row>
  </sheetData>
  <mergeCells count="12">
    <mergeCell ref="A142:F142"/>
    <mergeCell ref="B143:F143"/>
    <mergeCell ref="B144:F144"/>
    <mergeCell ref="O6:P6"/>
    <mergeCell ref="I6:J6"/>
    <mergeCell ref="K6:L6"/>
    <mergeCell ref="M6:N6"/>
    <mergeCell ref="C5:E5"/>
    <mergeCell ref="F5:H5"/>
    <mergeCell ref="A1:H1"/>
    <mergeCell ref="A2:H2"/>
    <mergeCell ref="A3:H3"/>
  </mergeCells>
  <pageMargins left="0.7" right="0.7" top="0.78740157499999996" bottom="0.78740157499999996" header="0.3" footer="0.3"/>
  <pageSetup paperSize="9" scale="23" orientation="portrait" horizontalDpi="0" verticalDpi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2CC65-7076-594F-9EB5-E07BBE2FC212}">
  <sheetPr>
    <tabColor rgb="FF73FEFF"/>
    <pageSetUpPr fitToPage="1"/>
  </sheetPr>
  <dimension ref="A1:AB260"/>
  <sheetViews>
    <sheetView topLeftCell="A123" zoomScale="85" zoomScaleNormal="130" workbookViewId="0">
      <pane xSplit="1" topLeftCell="B1" activePane="topRight" state="frozen"/>
      <selection activeCell="A157" sqref="A157"/>
      <selection pane="topRight" activeCell="N140" sqref="N140"/>
    </sheetView>
  </sheetViews>
  <sheetFormatPr baseColWidth="10" defaultColWidth="11" defaultRowHeight="16" x14ac:dyDescent="0.2"/>
  <cols>
    <col min="1" max="1" width="20" customWidth="1"/>
    <col min="2" max="2" width="14.5" customWidth="1"/>
    <col min="3" max="3" width="12.6640625" customWidth="1"/>
    <col min="15" max="15" width="7" customWidth="1"/>
    <col min="16" max="16" width="18.6640625" customWidth="1"/>
  </cols>
  <sheetData>
    <row r="1" spans="1:28" x14ac:dyDescent="0.2">
      <c r="A1" s="320"/>
      <c r="B1" s="462" t="s">
        <v>638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2"/>
      <c r="S1" s="462"/>
      <c r="T1" s="462"/>
      <c r="U1" s="462"/>
      <c r="V1" s="462"/>
      <c r="W1" s="462"/>
      <c r="X1" s="462"/>
      <c r="Y1" s="462"/>
      <c r="Z1" s="462"/>
      <c r="AA1" s="462"/>
      <c r="AB1" s="462"/>
    </row>
    <row r="3" spans="1:28" x14ac:dyDescent="0.2">
      <c r="A3" s="466" t="s">
        <v>517</v>
      </c>
      <c r="B3" s="466"/>
      <c r="C3" s="466"/>
      <c r="D3" s="466"/>
      <c r="E3" s="466"/>
      <c r="F3" s="466"/>
      <c r="G3" s="466"/>
      <c r="H3" s="466"/>
      <c r="I3" s="466"/>
      <c r="J3" s="466"/>
      <c r="K3" s="466"/>
      <c r="L3" s="466"/>
      <c r="M3" s="466"/>
      <c r="P3" s="466" t="s">
        <v>518</v>
      </c>
      <c r="Q3" s="466"/>
      <c r="R3" s="466"/>
      <c r="S3" s="466"/>
      <c r="T3" s="466"/>
      <c r="U3" s="466"/>
      <c r="V3" s="466"/>
      <c r="W3" s="466"/>
      <c r="X3" s="466"/>
      <c r="Y3" s="466"/>
      <c r="Z3" s="466"/>
      <c r="AA3" s="466"/>
      <c r="AB3" s="466"/>
    </row>
    <row r="4" spans="1:28" x14ac:dyDescent="0.2">
      <c r="A4" s="463" t="s">
        <v>504</v>
      </c>
      <c r="B4" s="458" t="s">
        <v>427</v>
      </c>
      <c r="C4" s="459"/>
      <c r="D4" s="459"/>
      <c r="E4" s="201"/>
      <c r="F4" s="458" t="s">
        <v>519</v>
      </c>
      <c r="G4" s="459"/>
      <c r="H4" s="459"/>
      <c r="I4" s="459"/>
      <c r="J4" s="458" t="s">
        <v>490</v>
      </c>
      <c r="K4" s="459"/>
      <c r="L4" s="459"/>
      <c r="M4" s="460"/>
      <c r="N4" s="82"/>
      <c r="O4" s="82"/>
      <c r="P4" s="463" t="s">
        <v>504</v>
      </c>
      <c r="Q4" s="458" t="s">
        <v>427</v>
      </c>
      <c r="R4" s="459"/>
      <c r="S4" s="459"/>
      <c r="T4" s="201"/>
      <c r="U4" s="458" t="s">
        <v>519</v>
      </c>
      <c r="V4" s="459"/>
      <c r="W4" s="459"/>
      <c r="X4" s="459"/>
      <c r="Y4" s="458" t="s">
        <v>490</v>
      </c>
      <c r="Z4" s="459"/>
      <c r="AA4" s="459"/>
      <c r="AB4" s="460"/>
    </row>
    <row r="5" spans="1:28" x14ac:dyDescent="0.2">
      <c r="A5" s="464"/>
      <c r="B5" s="453" t="s">
        <v>483</v>
      </c>
      <c r="C5" s="454"/>
      <c r="D5" s="454" t="s">
        <v>485</v>
      </c>
      <c r="E5" s="461"/>
      <c r="F5" s="453" t="s">
        <v>520</v>
      </c>
      <c r="G5" s="454"/>
      <c r="H5" s="454" t="s">
        <v>485</v>
      </c>
      <c r="I5" s="454"/>
      <c r="J5" s="453" t="s">
        <v>483</v>
      </c>
      <c r="K5" s="454"/>
      <c r="L5" s="454" t="s">
        <v>485</v>
      </c>
      <c r="M5" s="461"/>
      <c r="N5" s="82"/>
      <c r="O5" s="82"/>
      <c r="P5" s="464"/>
      <c r="Q5" s="453" t="s">
        <v>483</v>
      </c>
      <c r="R5" s="454"/>
      <c r="S5" s="454" t="s">
        <v>485</v>
      </c>
      <c r="T5" s="461"/>
      <c r="U5" s="453" t="s">
        <v>520</v>
      </c>
      <c r="V5" s="454"/>
      <c r="W5" s="454" t="s">
        <v>485</v>
      </c>
      <c r="X5" s="454"/>
      <c r="Y5" s="453" t="s">
        <v>483</v>
      </c>
      <c r="Z5" s="454"/>
      <c r="AA5" s="454" t="s">
        <v>485</v>
      </c>
      <c r="AB5" s="461"/>
    </row>
    <row r="6" spans="1:28" x14ac:dyDescent="0.2">
      <c r="A6" s="465"/>
      <c r="B6" s="455" t="s">
        <v>521</v>
      </c>
      <c r="C6" s="456"/>
      <c r="D6" s="456" t="s">
        <v>522</v>
      </c>
      <c r="E6" s="456"/>
      <c r="F6" s="455" t="s">
        <v>521</v>
      </c>
      <c r="G6" s="456"/>
      <c r="H6" s="456" t="s">
        <v>522</v>
      </c>
      <c r="I6" s="456"/>
      <c r="J6" s="455" t="s">
        <v>521</v>
      </c>
      <c r="K6" s="456"/>
      <c r="L6" s="456" t="s">
        <v>522</v>
      </c>
      <c r="M6" s="457"/>
      <c r="N6" s="82"/>
      <c r="O6" s="82"/>
      <c r="P6" s="465"/>
      <c r="Q6" s="455" t="s">
        <v>521</v>
      </c>
      <c r="R6" s="456"/>
      <c r="S6" s="456" t="s">
        <v>522</v>
      </c>
      <c r="T6" s="456"/>
      <c r="U6" s="455" t="s">
        <v>521</v>
      </c>
      <c r="V6" s="456"/>
      <c r="W6" s="456" t="s">
        <v>522</v>
      </c>
      <c r="X6" s="456"/>
      <c r="Y6" s="455" t="s">
        <v>521</v>
      </c>
      <c r="Z6" s="456"/>
      <c r="AA6" s="456" t="s">
        <v>522</v>
      </c>
      <c r="AB6" s="457"/>
    </row>
    <row r="7" spans="1:28" x14ac:dyDescent="0.2">
      <c r="A7" s="202"/>
      <c r="B7" s="199" t="s">
        <v>523</v>
      </c>
      <c r="C7" s="219" t="s">
        <v>386</v>
      </c>
      <c r="D7" s="199" t="s">
        <v>523</v>
      </c>
      <c r="E7" s="219" t="s">
        <v>386</v>
      </c>
      <c r="F7" s="199" t="s">
        <v>523</v>
      </c>
      <c r="G7" s="219" t="s">
        <v>386</v>
      </c>
      <c r="H7" s="199" t="s">
        <v>523</v>
      </c>
      <c r="I7" s="219" t="s">
        <v>386</v>
      </c>
      <c r="J7" s="335" t="s">
        <v>523</v>
      </c>
      <c r="K7" s="219" t="s">
        <v>386</v>
      </c>
      <c r="L7" s="199" t="s">
        <v>523</v>
      </c>
      <c r="M7" s="219" t="s">
        <v>386</v>
      </c>
      <c r="P7" s="202"/>
      <c r="Q7" s="199" t="s">
        <v>523</v>
      </c>
      <c r="R7" s="219" t="s">
        <v>386</v>
      </c>
      <c r="S7" s="199" t="s">
        <v>523</v>
      </c>
      <c r="T7" s="219" t="s">
        <v>386</v>
      </c>
      <c r="U7" s="199" t="s">
        <v>523</v>
      </c>
      <c r="V7" s="219" t="s">
        <v>386</v>
      </c>
      <c r="W7" s="199" t="s">
        <v>523</v>
      </c>
      <c r="X7" s="219" t="s">
        <v>386</v>
      </c>
      <c r="Y7" s="199" t="s">
        <v>523</v>
      </c>
      <c r="Z7" s="219" t="s">
        <v>386</v>
      </c>
      <c r="AA7" s="199" t="s">
        <v>523</v>
      </c>
      <c r="AB7" s="219" t="s">
        <v>386</v>
      </c>
    </row>
    <row r="8" spans="1:28" ht="17" x14ac:dyDescent="0.2">
      <c r="A8" s="203" t="s">
        <v>390</v>
      </c>
      <c r="B8" s="204">
        <f>SUM(' H Boy'!H11:H15)</f>
        <v>0.49047680000000005</v>
      </c>
      <c r="C8" s="325">
        <f t="shared" ref="C8:C13" si="0">B8/$B$22</f>
        <v>0.11426099704436436</v>
      </c>
      <c r="D8" s="205">
        <f>SUM(' H Boy'!K11:K15)</f>
        <v>0.68830080000000005</v>
      </c>
      <c r="E8" s="325">
        <f>D8/$D$22</f>
        <v>9.6161238941161381E-2</v>
      </c>
      <c r="F8" s="205">
        <f>SUM(' H Boy'!N11:N15)</f>
        <v>0.5725808</v>
      </c>
      <c r="G8" s="325">
        <f>F8/$F$22</f>
        <v>0.13729478905562062</v>
      </c>
      <c r="H8" s="205">
        <f>SUM(' H Boy'!Q11:Q15)</f>
        <v>0.72948480000000004</v>
      </c>
      <c r="I8" s="325">
        <f>H8/$H$22</f>
        <v>0.11536038074576783</v>
      </c>
      <c r="J8" s="204">
        <f>(B8+F8)/2</f>
        <v>0.53152880000000002</v>
      </c>
      <c r="K8" s="332">
        <f t="shared" ref="K8:K13" si="1">J8/$J$22</f>
        <v>0.12561166281889988</v>
      </c>
      <c r="L8" s="205">
        <f>(D8+H8)/2</f>
        <v>0.7088928000000001</v>
      </c>
      <c r="M8" s="332">
        <f t="shared" ref="M8:M13" si="2">L8/$L$22</f>
        <v>0.10516677065308579</v>
      </c>
      <c r="P8" s="203" t="s">
        <v>390</v>
      </c>
      <c r="Q8" s="204">
        <f>SUM('H Father'!H12:H16)</f>
        <v>0.60194880000000006</v>
      </c>
      <c r="R8" s="325">
        <f>Q8/$Q$22</f>
        <v>0.11133799306066891</v>
      </c>
      <c r="S8" s="204">
        <f>SUM('H Father'!K12:K16)</f>
        <v>0.84473280000000006</v>
      </c>
      <c r="T8" s="325">
        <f>S8/$S$22</f>
        <v>9.5811438882924566E-2</v>
      </c>
      <c r="U8" s="204">
        <f>SUM('H Father'!N12:N16)</f>
        <v>0.70271280000000003</v>
      </c>
      <c r="V8" s="325">
        <f>U8/$U$22</f>
        <v>0.13313872227708082</v>
      </c>
      <c r="W8" s="204">
        <f>SUM('H Father'!Q12:Q16)</f>
        <v>0.89527679999999998</v>
      </c>
      <c r="X8" s="325">
        <f>W8/$W$22</f>
        <v>0.11647890448708238</v>
      </c>
      <c r="Y8" s="204">
        <f>(Q8+U8)/2</f>
        <v>0.6523308000000001</v>
      </c>
      <c r="Z8" s="332">
        <f t="shared" ref="Z8:Z13" si="3">Y8/$Y$22</f>
        <v>0.1221073134204833</v>
      </c>
      <c r="AA8" s="205">
        <f>(S8+W8)/2</f>
        <v>0.87000480000000002</v>
      </c>
      <c r="AB8" s="332">
        <f>AA8/$AA$22</f>
        <v>0.10543730773267106</v>
      </c>
    </row>
    <row r="9" spans="1:28" ht="34" x14ac:dyDescent="0.2">
      <c r="A9" s="9" t="s">
        <v>39</v>
      </c>
      <c r="B9" s="207">
        <f>SUM(' H Boy'!H18)</f>
        <v>4.0480000000000002E-2</v>
      </c>
      <c r="C9" s="217">
        <f t="shared" si="0"/>
        <v>9.4301813263254642E-3</v>
      </c>
      <c r="D9">
        <f>SUM(' H Boy'!K18)</f>
        <v>6.7320000000000005E-2</v>
      </c>
      <c r="E9" s="217">
        <f t="shared" ref="E9:E20" si="4">D9/$D$22</f>
        <v>9.4051533944446743E-3</v>
      </c>
      <c r="F9">
        <f>SUM(' H Boy'!N18)</f>
        <v>4.224E-2</v>
      </c>
      <c r="G9" s="217">
        <f t="shared" ref="G9:G20" si="5">F9/$F$22</f>
        <v>1.0128407885331493E-2</v>
      </c>
      <c r="H9">
        <f>SUM(' H Boy'!Q18)</f>
        <v>6.4239999999999992E-2</v>
      </c>
      <c r="I9" s="217">
        <f t="shared" ref="I9:I20" si="6">H9/$H$22</f>
        <v>1.0158883172217055E-2</v>
      </c>
      <c r="J9" s="207">
        <f t="shared" ref="J9:J19" si="7">(B9+F9)/2</f>
        <v>4.1360000000000001E-2</v>
      </c>
      <c r="K9" s="327">
        <f t="shared" si="1"/>
        <v>9.7742556455825136E-3</v>
      </c>
      <c r="L9">
        <f t="shared" ref="L9:L19" si="8">(D9+H9)/2</f>
        <v>6.5780000000000005E-2</v>
      </c>
      <c r="M9" s="327">
        <f t="shared" si="2"/>
        <v>9.7586971874449608E-3</v>
      </c>
      <c r="P9" s="203" t="s">
        <v>39</v>
      </c>
      <c r="Q9" s="207">
        <f>SUM('H Father'!H19)</f>
        <v>4.9680000000000002E-2</v>
      </c>
      <c r="R9" s="217">
        <f t="shared" ref="R9:R20" si="9">Q9/$Q$22</f>
        <v>9.188940147823255E-3</v>
      </c>
      <c r="S9" s="207">
        <f>SUM('H Father'!K19)</f>
        <v>8.2619999999999999E-2</v>
      </c>
      <c r="T9" s="217">
        <f t="shared" ref="T9:T20" si="10">S9/$S$22</f>
        <v>9.3709408235447076E-3</v>
      </c>
      <c r="U9" s="207">
        <f>SUM('H Father'!N19)</f>
        <v>5.1839999999999997E-2</v>
      </c>
      <c r="V9" s="217">
        <f t="shared" ref="V9:V20" si="11">U9/$U$22</f>
        <v>9.821809653736021E-3</v>
      </c>
      <c r="W9" s="207">
        <f>SUM('H Father'!Q19)</f>
        <v>7.8839999999999993E-2</v>
      </c>
      <c r="X9" s="217">
        <f t="shared" ref="X9:X20" si="12">W9/$W$22</f>
        <v>1.0257382777886766E-2</v>
      </c>
      <c r="Y9" s="207">
        <f t="shared" ref="Y9:Y19" si="13">(Q9+U9)/2</f>
        <v>5.076E-2</v>
      </c>
      <c r="Z9" s="327">
        <f t="shared" si="3"/>
        <v>9.5015707202905815E-3</v>
      </c>
      <c r="AA9">
        <f t="shared" ref="AA9:AA19" si="14">(S9+W9)/2</f>
        <v>8.0729999999999996E-2</v>
      </c>
      <c r="AB9" s="327">
        <f>AA9/$AA$22</f>
        <v>9.7838010241535836E-3</v>
      </c>
    </row>
    <row r="10" spans="1:28" ht="17" x14ac:dyDescent="0.2">
      <c r="A10" s="9" t="s">
        <v>391</v>
      </c>
      <c r="B10" s="207">
        <f>SUM(' H Boy'!H23:H45)</f>
        <v>0.66837648344987388</v>
      </c>
      <c r="C10" s="217">
        <f t="shared" si="0"/>
        <v>0.15570433382371743</v>
      </c>
      <c r="D10">
        <f>SUM(' H Boy'!K23:K45)</f>
        <v>1.0788938077314454</v>
      </c>
      <c r="E10" s="217">
        <f t="shared" si="4"/>
        <v>0.15073026972713521</v>
      </c>
      <c r="F10">
        <f>SUM(' H Boy'!N23:N45)</f>
        <v>0.59357374441327326</v>
      </c>
      <c r="G10" s="217">
        <f t="shared" si="5"/>
        <v>0.14232852730684512</v>
      </c>
      <c r="H10">
        <f>SUM(' H Boy'!Q23:Q45)</f>
        <v>0.86959472654602177</v>
      </c>
      <c r="I10" s="217">
        <f t="shared" si="6"/>
        <v>0.13751729816558333</v>
      </c>
      <c r="J10" s="207">
        <f t="shared" si="7"/>
        <v>0.63097511393157357</v>
      </c>
      <c r="K10" s="327">
        <f t="shared" si="1"/>
        <v>0.14911296106305011</v>
      </c>
      <c r="L10">
        <f t="shared" si="8"/>
        <v>0.97424426713873358</v>
      </c>
      <c r="M10" s="327">
        <f t="shared" si="2"/>
        <v>0.14453260549728086</v>
      </c>
      <c r="P10" s="203" t="s">
        <v>524</v>
      </c>
      <c r="Q10" s="207">
        <f>SUM('H Father'!H24:H46)</f>
        <v>0.8202802296884818</v>
      </c>
      <c r="R10" s="217">
        <f t="shared" si="9"/>
        <v>0.15172113395833678</v>
      </c>
      <c r="S10" s="207">
        <f>SUM('H Father'!K24:K46)</f>
        <v>1.3240969458522283</v>
      </c>
      <c r="T10" s="217">
        <f t="shared" si="10"/>
        <v>0.1501819671292364</v>
      </c>
      <c r="U10" s="207">
        <f>SUM('H Father'!N24:N46)</f>
        <v>0.72847686814356261</v>
      </c>
      <c r="V10" s="217">
        <f t="shared" si="11"/>
        <v>0.13802008364305218</v>
      </c>
      <c r="W10" s="207">
        <f>SUM('H Father'!Q24:Q46)</f>
        <v>1.0672298916701175</v>
      </c>
      <c r="X10" s="217">
        <f t="shared" si="12"/>
        <v>0.13885065335950056</v>
      </c>
      <c r="Y10" s="207">
        <f t="shared" si="13"/>
        <v>0.7743785489160222</v>
      </c>
      <c r="Z10" s="327">
        <f t="shared" si="3"/>
        <v>0.14495296585503514</v>
      </c>
      <c r="AA10">
        <f t="shared" si="14"/>
        <v>1.195663418761173</v>
      </c>
      <c r="AB10" s="327">
        <f t="shared" ref="AB10:AB20" si="15">AA10/$AA$22</f>
        <v>0.14490440952580874</v>
      </c>
    </row>
    <row r="11" spans="1:28" ht="17" x14ac:dyDescent="0.2">
      <c r="A11" s="203" t="s">
        <v>399</v>
      </c>
      <c r="B11" s="207">
        <f>SUM(' H Boy'!H48:H57)</f>
        <v>0.41177016238793296</v>
      </c>
      <c r="C11" s="217">
        <f t="shared" si="0"/>
        <v>9.5925575496262086E-2</v>
      </c>
      <c r="D11">
        <f>SUM(' H Boy'!K48:K57)</f>
        <v>0.61965481083182083</v>
      </c>
      <c r="E11" s="217">
        <f t="shared" si="4"/>
        <v>8.6570834038604744E-2</v>
      </c>
      <c r="F11">
        <f>SUM(' H Boy'!N48:N57)</f>
        <v>0.35208543262279474</v>
      </c>
      <c r="G11" s="217">
        <f t="shared" si="5"/>
        <v>8.442388428236422E-2</v>
      </c>
      <c r="H11">
        <f>SUM(' H Boy'!Q48:Q57)</f>
        <v>0.5641038490268675</v>
      </c>
      <c r="I11" s="217">
        <f t="shared" si="6"/>
        <v>8.9207115492869166E-2</v>
      </c>
      <c r="J11" s="207">
        <f t="shared" si="7"/>
        <v>0.38192779750536388</v>
      </c>
      <c r="K11" s="327">
        <f t="shared" si="1"/>
        <v>9.0257735274944337E-2</v>
      </c>
      <c r="L11">
        <f t="shared" si="8"/>
        <v>0.59187932992934411</v>
      </c>
      <c r="M11" s="327">
        <f t="shared" si="2"/>
        <v>8.7807405781214612E-2</v>
      </c>
      <c r="P11" s="203" t="s">
        <v>399</v>
      </c>
      <c r="Q11" s="207">
        <f>SUM('H Father'!H49:H58)</f>
        <v>0.50535429020337241</v>
      </c>
      <c r="R11" s="217">
        <f t="shared" si="9"/>
        <v>9.3471624921990598E-2</v>
      </c>
      <c r="S11" s="207">
        <f>SUM('H Father'!K49:K58)</f>
        <v>0.76048544965723464</v>
      </c>
      <c r="T11" s="217">
        <f t="shared" si="10"/>
        <v>8.6255920429735344E-2</v>
      </c>
      <c r="U11" s="207">
        <f>SUM('H Father'!N49:N58)</f>
        <v>0.43210484912797542</v>
      </c>
      <c r="V11" s="217">
        <f t="shared" si="11"/>
        <v>8.1868278908011113E-2</v>
      </c>
      <c r="W11" s="207">
        <f>SUM('H Father'!Q49:Q58)</f>
        <v>0.69230926926024638</v>
      </c>
      <c r="X11" s="217">
        <f t="shared" si="12"/>
        <v>9.0072059557095685E-2</v>
      </c>
      <c r="Y11" s="207">
        <f t="shared" si="13"/>
        <v>0.46872956966567392</v>
      </c>
      <c r="Z11" s="327">
        <f t="shared" si="3"/>
        <v>8.7739699662525053E-2</v>
      </c>
      <c r="AA11">
        <f t="shared" si="14"/>
        <v>0.72639735945874051</v>
      </c>
      <c r="AB11" s="327">
        <f t="shared" si="15"/>
        <v>8.8033286627212742E-2</v>
      </c>
    </row>
    <row r="12" spans="1:28" ht="17" x14ac:dyDescent="0.2">
      <c r="A12" s="9" t="s">
        <v>400</v>
      </c>
      <c r="B12" s="207">
        <f>SUM(' H Boy'!H60:H68)</f>
        <v>0.634216</v>
      </c>
      <c r="C12" s="217">
        <f t="shared" si="0"/>
        <v>0.14774634091049482</v>
      </c>
      <c r="D12">
        <f>SUM(' H Boy'!K60:K68)</f>
        <v>0.86548000000000003</v>
      </c>
      <c r="E12" s="217">
        <f t="shared" si="4"/>
        <v>0.12091461912988674</v>
      </c>
      <c r="F12">
        <f>SUM(' H Boy'!N60:N68)</f>
        <v>0.65445600000000004</v>
      </c>
      <c r="G12" s="217">
        <f t="shared" si="5"/>
        <v>0.15692701967335485</v>
      </c>
      <c r="H12">
        <f>SUM(' H Boy'!Q60:Q68)</f>
        <v>0.84928800000000004</v>
      </c>
      <c r="I12" s="217">
        <f t="shared" si="6"/>
        <v>0.13430600204803675</v>
      </c>
      <c r="J12" s="207">
        <f t="shared" si="7"/>
        <v>0.64433600000000002</v>
      </c>
      <c r="K12" s="327">
        <f t="shared" si="1"/>
        <v>0.15227042518501097</v>
      </c>
      <c r="L12">
        <f t="shared" si="8"/>
        <v>0.85738400000000003</v>
      </c>
      <c r="M12" s="327">
        <f t="shared" si="2"/>
        <v>0.12719596882578763</v>
      </c>
      <c r="P12" s="203" t="s">
        <v>400</v>
      </c>
      <c r="Q12" s="207">
        <f>SUM('H Father'!H61:H69)</f>
        <v>0.77835599999999994</v>
      </c>
      <c r="R12" s="217">
        <f t="shared" si="9"/>
        <v>0.14396672096817867</v>
      </c>
      <c r="S12" s="207">
        <f>SUM('H Father'!K61:K69)</f>
        <v>1.0621800000000001</v>
      </c>
      <c r="T12" s="217">
        <f t="shared" si="10"/>
        <v>0.12047477516282643</v>
      </c>
      <c r="U12" s="207">
        <f>SUM('H Father'!N61:N69)</f>
        <v>0.80319600000000013</v>
      </c>
      <c r="V12" s="217">
        <f t="shared" si="11"/>
        <v>0.15217666332257249</v>
      </c>
      <c r="W12" s="207">
        <f>SUM('H Father'!Q61:Q69)</f>
        <v>1.0423080000000002</v>
      </c>
      <c r="X12" s="217">
        <f t="shared" si="12"/>
        <v>0.135608220807377</v>
      </c>
      <c r="Y12" s="207">
        <f t="shared" si="13"/>
        <v>0.79077600000000003</v>
      </c>
      <c r="Z12" s="327">
        <f t="shared" si="3"/>
        <v>0.14802234215737795</v>
      </c>
      <c r="AA12">
        <f t="shared" si="14"/>
        <v>1.0522440000000002</v>
      </c>
      <c r="AB12" s="327">
        <f t="shared" si="15"/>
        <v>0.12752317508806474</v>
      </c>
    </row>
    <row r="13" spans="1:28" ht="17" x14ac:dyDescent="0.2">
      <c r="A13" s="203" t="s">
        <v>156</v>
      </c>
      <c r="B13" s="207">
        <f>SUM(' H Boy'!H70:H105)</f>
        <v>1.3634856866767222</v>
      </c>
      <c r="C13" s="217">
        <f t="shared" si="0"/>
        <v>0.3176362959785296</v>
      </c>
      <c r="D13">
        <f>SUM(' H Boy'!K71:K105)</f>
        <v>2.4557386405228763</v>
      </c>
      <c r="E13" s="217">
        <f t="shared" si="4"/>
        <v>0.34308672921542893</v>
      </c>
      <c r="F13">
        <f>SUM(' H Boy'!N71:N105)</f>
        <v>1.3429568600898163</v>
      </c>
      <c r="G13" s="217">
        <f t="shared" si="5"/>
        <v>0.32201739705004068</v>
      </c>
      <c r="H13">
        <f>SUM(' H Boy'!Q71:Q105)</f>
        <v>2.0547330139359703</v>
      </c>
      <c r="I13" s="217">
        <f t="shared" si="6"/>
        <v>0.32493450558332759</v>
      </c>
      <c r="J13" s="207">
        <f t="shared" si="7"/>
        <v>1.3532212733832694</v>
      </c>
      <c r="K13" s="327">
        <f t="shared" si="1"/>
        <v>0.31979522899150814</v>
      </c>
      <c r="L13">
        <f t="shared" si="8"/>
        <v>2.2552358272294235</v>
      </c>
      <c r="M13" s="327">
        <f t="shared" si="2"/>
        <v>0.33457226397398726</v>
      </c>
      <c r="P13" s="203" t="s">
        <v>156</v>
      </c>
      <c r="Q13" s="207">
        <f>SUM('H Father'!H72:H106)</f>
        <v>1.6733687972850682</v>
      </c>
      <c r="R13" s="217">
        <f t="shared" si="9"/>
        <v>0.30951058219580263</v>
      </c>
      <c r="S13" s="207">
        <f>SUM('H Father'!K72:K106)</f>
        <v>3.0138610588235299</v>
      </c>
      <c r="T13" s="217">
        <f>S13/$S$22</f>
        <v>0.34183870288817592</v>
      </c>
      <c r="U13" s="207">
        <f>SUM('H Father'!N72:N106)</f>
        <v>1.6481743282920469</v>
      </c>
      <c r="V13" s="217">
        <f>U13/$U$22</f>
        <v>0.31226957038307696</v>
      </c>
      <c r="W13" s="207">
        <f>SUM('H Father'!Q72:Q106)</f>
        <v>2.5217177898305083</v>
      </c>
      <c r="X13" s="217">
        <f>W13/$W$22</f>
        <v>0.32808504094492819</v>
      </c>
      <c r="Y13" s="207">
        <f t="shared" si="13"/>
        <v>1.6607715627885575</v>
      </c>
      <c r="Z13" s="327">
        <f t="shared" si="3"/>
        <v>0.31087349200321096</v>
      </c>
      <c r="AA13">
        <f t="shared" si="14"/>
        <v>2.7677894243270194</v>
      </c>
      <c r="AB13" s="327">
        <f t="shared" si="15"/>
        <v>0.33543293700448595</v>
      </c>
    </row>
    <row r="14" spans="1:28" ht="17" x14ac:dyDescent="0.2">
      <c r="A14" s="223" t="s">
        <v>525</v>
      </c>
      <c r="B14" s="224">
        <f>SUM(' H Boy'!H71,' H Boy'!H74,' H Boy'!H77,' H Boy'!H83:H85)</f>
        <v>0.71706762393162404</v>
      </c>
      <c r="C14" s="222">
        <f>B14/$B$13</f>
        <v>0.52590770181046886</v>
      </c>
      <c r="D14" s="225">
        <f>SUM(' H Boy'!K71,' H Boy'!K74,' H Boy'!K77,' H Boy'!K83:K85)</f>
        <v>1.6656786666666668</v>
      </c>
      <c r="E14" s="222">
        <f>D14/$D$13</f>
        <v>0.67828010651492221</v>
      </c>
      <c r="F14" s="225">
        <f>SUM(' H Boy'!N71,' H Boy'!N74,' H Boy'!N77,' H Boy'!N83:N85)</f>
        <v>0.69131882393162403</v>
      </c>
      <c r="G14" s="222">
        <f>F14/$F$13</f>
        <v>0.51477366434941851</v>
      </c>
      <c r="H14" s="225">
        <f>SUM(' H Boy'!Q71,' H Boy'!Q74,' H Boy'!Q77,' H Boy'!Q83:Q85)</f>
        <v>1.3150778666666667</v>
      </c>
      <c r="I14" s="222">
        <f>H14/$H$13</f>
        <v>0.64002371974719596</v>
      </c>
      <c r="J14" s="233">
        <f t="shared" si="7"/>
        <v>0.70419322393162398</v>
      </c>
      <c r="K14" s="333">
        <f>J14/$J$13</f>
        <v>0.52038290986294389</v>
      </c>
      <c r="L14" s="85">
        <f t="shared" si="8"/>
        <v>1.4903782666666667</v>
      </c>
      <c r="M14" s="330">
        <f>L14/$L$13</f>
        <v>0.660852514256839</v>
      </c>
      <c r="P14" s="226" t="s">
        <v>525</v>
      </c>
      <c r="Q14" s="224">
        <f>SUM('H Father'!H72,'H Father'!H75,'H Father'!H78,'H Father'!H84:H86)</f>
        <v>0.88003753846153854</v>
      </c>
      <c r="R14" s="222">
        <f>Q14/$Q$13</f>
        <v>0.52590770181046886</v>
      </c>
      <c r="S14" s="224">
        <f>SUM('H Father'!K72,'H Father'!K75,'H Father'!K78,'H Father'!K84:K86)</f>
        <v>2.0442420000000001</v>
      </c>
      <c r="T14" s="222">
        <f>S14/$S$13</f>
        <v>0.67828010651492221</v>
      </c>
      <c r="U14" s="224">
        <f>SUM('H Father'!N72,'H Father'!N75,'H Father'!N78,'H Father'!N84:N86)</f>
        <v>0.84843673846153855</v>
      </c>
      <c r="V14" s="222">
        <f>U14/$U$13</f>
        <v>0.51477366434941851</v>
      </c>
      <c r="W14" s="224">
        <f>SUM('H Father'!Q72,'H Father'!Q75,'H Father'!Q78,'H Father'!Q84:Q86)</f>
        <v>1.6139592</v>
      </c>
      <c r="X14" s="222">
        <f>W14/$W$13</f>
        <v>0.64002371974719607</v>
      </c>
      <c r="Y14" s="233">
        <f t="shared" si="13"/>
        <v>0.8642371384615386</v>
      </c>
      <c r="Z14" s="328">
        <f>Y14/$Y$13</f>
        <v>0.520382909862944</v>
      </c>
      <c r="AA14" s="85">
        <f t="shared" si="14"/>
        <v>1.8291006000000001</v>
      </c>
      <c r="AB14" s="328">
        <f>AA14/$AA$13</f>
        <v>0.66085251425683911</v>
      </c>
    </row>
    <row r="15" spans="1:28" ht="17" x14ac:dyDescent="0.2">
      <c r="A15" s="223" t="s">
        <v>170</v>
      </c>
      <c r="B15" s="224">
        <f>SUM(' H Boy'!H80)</f>
        <v>4.5531200000000001E-2</v>
      </c>
      <c r="C15" s="222">
        <f t="shared" ref="C15:C17" si="16">B15/$B$13</f>
        <v>3.33932365003222E-2</v>
      </c>
      <c r="D15" s="225">
        <f>SUM(' H Boy'!K80)</f>
        <v>9.1138666666666673E-2</v>
      </c>
      <c r="E15" s="222">
        <f t="shared" ref="E15:E17" si="17">D15/$D$13</f>
        <v>3.711252702659816E-2</v>
      </c>
      <c r="F15" s="225">
        <f>SUM(' H Boy'!N80)</f>
        <v>4.5531200000000001E-2</v>
      </c>
      <c r="G15" s="222">
        <f t="shared" ref="G15:G17" si="18">F15/$F$13</f>
        <v>3.3903695161849726E-2</v>
      </c>
      <c r="H15" s="225">
        <f>SUM(' H Boy'!Q80)</f>
        <v>7.2987200000000002E-2</v>
      </c>
      <c r="I15" s="222">
        <f t="shared" ref="I15:I17" si="19">H15/$H$13</f>
        <v>3.5521500606148546E-2</v>
      </c>
      <c r="J15" s="233">
        <f t="shared" si="7"/>
        <v>4.5531200000000001E-2</v>
      </c>
      <c r="K15" s="328">
        <f t="shared" ref="K15:K17" si="20">J15/$J$13</f>
        <v>3.3646529873244402E-2</v>
      </c>
      <c r="L15" s="85">
        <f t="shared" si="8"/>
        <v>8.2062933333333338E-2</v>
      </c>
      <c r="M15" s="328">
        <f t="shared" ref="M15:M17" si="21">L15/$L$13</f>
        <v>3.6387739296492264E-2</v>
      </c>
      <c r="P15" s="226" t="s">
        <v>170</v>
      </c>
      <c r="Q15" s="224">
        <f>SUM('H Father'!H81)</f>
        <v>5.5879200000000004E-2</v>
      </c>
      <c r="R15" s="222">
        <f t="shared" ref="R15:R17" si="22">Q15/$Q$13</f>
        <v>3.33932365003222E-2</v>
      </c>
      <c r="S15" s="224">
        <f>SUM('H Father'!K81)</f>
        <v>0.11185200000000001</v>
      </c>
      <c r="T15" s="222">
        <f t="shared" ref="T15:T17" si="23">S15/$S$13</f>
        <v>3.711252702659816E-2</v>
      </c>
      <c r="U15" s="224">
        <f>SUM('H Father'!N81)</f>
        <v>5.5879200000000004E-2</v>
      </c>
      <c r="V15" s="222">
        <f t="shared" ref="V15:V17" si="24">U15/$U$13</f>
        <v>3.3903695161849733E-2</v>
      </c>
      <c r="W15" s="224">
        <f>SUM('H Father'!Q81)</f>
        <v>8.9575200000000008E-2</v>
      </c>
      <c r="X15" s="222">
        <f t="shared" ref="X15:X17" si="25">W15/$W$13</f>
        <v>3.5521500606148559E-2</v>
      </c>
      <c r="Y15" s="233">
        <f t="shared" si="13"/>
        <v>5.5879200000000004E-2</v>
      </c>
      <c r="Z15" s="328">
        <f t="shared" ref="Z15:Z17" si="26">Y15/$Y$13</f>
        <v>3.3646529873244409E-2</v>
      </c>
      <c r="AA15" s="85">
        <f t="shared" si="14"/>
        <v>0.10071360000000001</v>
      </c>
      <c r="AB15" s="328">
        <f t="shared" ref="AB15:AB17" si="27">AA15/$AA$13</f>
        <v>3.6387739296492277E-2</v>
      </c>
    </row>
    <row r="16" spans="1:28" ht="17" x14ac:dyDescent="0.2">
      <c r="A16" s="223" t="s">
        <v>526</v>
      </c>
      <c r="B16" s="224">
        <f>SUM(' H Boy'!H88:H97)</f>
        <v>0.23942686274509803</v>
      </c>
      <c r="C16" s="222">
        <f t="shared" si="16"/>
        <v>0.17559910242157556</v>
      </c>
      <c r="D16" s="225">
        <f>SUM(' H Boy'!K88:K97)</f>
        <v>0.26596130718954247</v>
      </c>
      <c r="E16" s="222">
        <f t="shared" si="17"/>
        <v>0.1083019596633109</v>
      </c>
      <c r="F16" s="225">
        <f>SUM(' H Boy'!N88:N97)</f>
        <v>0.24464683615819208</v>
      </c>
      <c r="G16" s="222">
        <f t="shared" si="18"/>
        <v>0.18217028664780061</v>
      </c>
      <c r="H16" s="225">
        <f>SUM(' H Boy'!Q88:Q97)</f>
        <v>0.26890794726930323</v>
      </c>
      <c r="I16" s="222">
        <f t="shared" si="19"/>
        <v>0.13087245177133411</v>
      </c>
      <c r="J16" s="233">
        <f t="shared" si="7"/>
        <v>0.24203684945164505</v>
      </c>
      <c r="K16" s="328">
        <f t="shared" si="20"/>
        <v>0.17885977276023327</v>
      </c>
      <c r="L16" s="85">
        <f t="shared" si="8"/>
        <v>0.26743462722942285</v>
      </c>
      <c r="M16" s="328">
        <f t="shared" si="21"/>
        <v>0.11858388555221233</v>
      </c>
      <c r="P16" s="223" t="s">
        <v>526</v>
      </c>
      <c r="Q16" s="224">
        <f>SUM('H Father'!H89:H98)</f>
        <v>0.29384205882352943</v>
      </c>
      <c r="R16" s="222">
        <f t="shared" si="22"/>
        <v>0.17559910242157559</v>
      </c>
      <c r="S16" s="224">
        <f>SUM('H Father'!K89:K98)</f>
        <v>0.32640705882352938</v>
      </c>
      <c r="T16" s="222">
        <f t="shared" si="23"/>
        <v>0.10830195966331088</v>
      </c>
      <c r="U16" s="224">
        <f>SUM('H Father'!N89:N98)</f>
        <v>0.3002483898305085</v>
      </c>
      <c r="V16" s="222">
        <f t="shared" si="24"/>
        <v>0.18217028664780066</v>
      </c>
      <c r="W16" s="224">
        <f>SUM('H Father'!Q89:Q98)</f>
        <v>0.3300233898305085</v>
      </c>
      <c r="X16" s="222">
        <f t="shared" si="25"/>
        <v>0.13087245177133414</v>
      </c>
      <c r="Y16" s="233">
        <f t="shared" si="13"/>
        <v>0.29704522432701896</v>
      </c>
      <c r="Z16" s="328">
        <f t="shared" si="26"/>
        <v>0.17885977276023332</v>
      </c>
      <c r="AA16" s="85">
        <f t="shared" si="14"/>
        <v>0.32821522432701894</v>
      </c>
      <c r="AB16" s="328">
        <f t="shared" si="27"/>
        <v>0.11858388555221235</v>
      </c>
    </row>
    <row r="17" spans="1:28" ht="17" x14ac:dyDescent="0.2">
      <c r="A17" s="223" t="s">
        <v>205</v>
      </c>
      <c r="B17" s="224">
        <f>SUM(' H Boy'!H101:H105)</f>
        <v>0.36146</v>
      </c>
      <c r="C17" s="222">
        <f t="shared" si="16"/>
        <v>0.26509995926763325</v>
      </c>
      <c r="D17" s="225">
        <f>SUM(' H Boy'!K101:K105)</f>
        <v>0.43296000000000001</v>
      </c>
      <c r="E17" s="222">
        <f t="shared" si="17"/>
        <v>0.1763054067951686</v>
      </c>
      <c r="F17" s="225">
        <f>SUM(' H Boy'!N101:N105)</f>
        <v>0.36146</v>
      </c>
      <c r="G17" s="222">
        <f t="shared" si="18"/>
        <v>0.26915235384093106</v>
      </c>
      <c r="H17" s="225">
        <f>SUM(' H Boy'!Q101:Q105)</f>
        <v>0.39776</v>
      </c>
      <c r="I17" s="222">
        <f t="shared" si="19"/>
        <v>0.19358232787532123</v>
      </c>
      <c r="J17" s="233">
        <f t="shared" si="7"/>
        <v>0.36146</v>
      </c>
      <c r="K17" s="328">
        <f t="shared" si="20"/>
        <v>0.26711078750357825</v>
      </c>
      <c r="L17" s="85">
        <f t="shared" si="8"/>
        <v>0.41536000000000001</v>
      </c>
      <c r="M17" s="328">
        <f t="shared" si="21"/>
        <v>0.18417586089445614</v>
      </c>
      <c r="P17" s="226" t="s">
        <v>205</v>
      </c>
      <c r="Q17" s="224">
        <f>SUM('H Father'!H102:H106)</f>
        <v>0.44360999999999995</v>
      </c>
      <c r="R17" s="222">
        <f t="shared" si="22"/>
        <v>0.26509995926763319</v>
      </c>
      <c r="S17" s="224">
        <f>SUM('H Father'!K101:K106)</f>
        <v>0.53136000000000005</v>
      </c>
      <c r="T17" s="222">
        <f t="shared" si="23"/>
        <v>0.17630540679516862</v>
      </c>
      <c r="U17" s="224">
        <f>SUM('H Father'!N102:N106)</f>
        <v>0.44360999999999995</v>
      </c>
      <c r="V17" s="222">
        <f t="shared" si="24"/>
        <v>0.26915235384093111</v>
      </c>
      <c r="W17" s="224">
        <f>SUM('H Father'!Q102:Q106)</f>
        <v>0.48816000000000004</v>
      </c>
      <c r="X17" s="222">
        <f t="shared" si="25"/>
        <v>0.19358232787532131</v>
      </c>
      <c r="Y17" s="233">
        <f t="shared" si="13"/>
        <v>0.44360999999999995</v>
      </c>
      <c r="Z17" s="328">
        <f t="shared" si="26"/>
        <v>0.26711078750357825</v>
      </c>
      <c r="AA17" s="85">
        <f t="shared" si="14"/>
        <v>0.50975999999999999</v>
      </c>
      <c r="AB17" s="328">
        <f t="shared" si="27"/>
        <v>0.18417586089445614</v>
      </c>
    </row>
    <row r="18" spans="1:28" ht="17" x14ac:dyDescent="0.2">
      <c r="A18" s="203" t="s">
        <v>413</v>
      </c>
      <c r="B18" s="207">
        <f>SUM(' H Boy'!H108:H117)</f>
        <v>0.31474432000000002</v>
      </c>
      <c r="C18" s="217">
        <f>B18/$B$22</f>
        <v>7.3322529867366759E-2</v>
      </c>
      <c r="D18">
        <f>SUM(' H Boy'!K108:K116)</f>
        <v>0.49487210666666676</v>
      </c>
      <c r="E18" s="217">
        <f t="shared" si="4"/>
        <v>6.913767192263795E-2</v>
      </c>
      <c r="F18">
        <f>SUM(' H Boy'!N108:N116)</f>
        <v>0.24053098666666667</v>
      </c>
      <c r="G18" s="217">
        <f t="shared" si="5"/>
        <v>5.767509332436626E-2</v>
      </c>
      <c r="H18">
        <f>SUM(' H Boy'!Q108:Q116)</f>
        <v>0.32755477333333338</v>
      </c>
      <c r="I18" s="217">
        <f t="shared" si="6"/>
        <v>5.1799356706030086E-2</v>
      </c>
      <c r="J18" s="207">
        <f t="shared" si="7"/>
        <v>0.27763765333333335</v>
      </c>
      <c r="K18" s="327">
        <f>J18/$J$22</f>
        <v>6.5611735989352368E-2</v>
      </c>
      <c r="L18">
        <f t="shared" si="8"/>
        <v>0.41121344000000004</v>
      </c>
      <c r="M18" s="327">
        <f>L18/$L$22</f>
        <v>6.1004977810391714E-2</v>
      </c>
      <c r="P18" s="203" t="s">
        <v>413</v>
      </c>
      <c r="Q18" s="207">
        <f>SUM('H Father'!H109:H117)</f>
        <v>0.38627711999999997</v>
      </c>
      <c r="R18" s="217">
        <f t="shared" si="9"/>
        <v>7.1446806283283829E-2</v>
      </c>
      <c r="S18" s="207">
        <f>SUM('H Father'!K109:K118)</f>
        <v>0.60734303999999995</v>
      </c>
      <c r="T18" s="217">
        <f t="shared" si="10"/>
        <v>6.8886173897745651E-2</v>
      </c>
      <c r="U18" s="207">
        <f>SUM('H Father'!N109:N117)</f>
        <v>0.29519712000000004</v>
      </c>
      <c r="V18" s="217">
        <f t="shared" si="11"/>
        <v>5.5929203761016032E-2</v>
      </c>
      <c r="W18" s="207">
        <f>SUM('H Father'!Q109:Q117)</f>
        <v>0.40199903999999997</v>
      </c>
      <c r="X18" s="217">
        <f t="shared" si="12"/>
        <v>5.2301598549251815E-2</v>
      </c>
      <c r="Y18" s="207">
        <f t="shared" si="13"/>
        <v>0.34073712</v>
      </c>
      <c r="Z18" s="327">
        <f>Y18/$Y$22</f>
        <v>6.3781281377228882E-2</v>
      </c>
      <c r="AA18">
        <f t="shared" si="14"/>
        <v>0.50467103999999996</v>
      </c>
      <c r="AB18" s="327">
        <f t="shared" si="15"/>
        <v>6.1161910541467288E-2</v>
      </c>
    </row>
    <row r="19" spans="1:28" ht="34" x14ac:dyDescent="0.2">
      <c r="A19" s="203" t="s">
        <v>414</v>
      </c>
      <c r="B19" s="207">
        <f>SUM(' H Boy'!H119:H121)</f>
        <v>0.10048133333333334</v>
      </c>
      <c r="C19" s="217">
        <f>B19/$B$22</f>
        <v>2.3408033429947739E-2</v>
      </c>
      <c r="D19">
        <f>SUM(' H Boy'!K119:K121)</f>
        <v>0.27634639999999999</v>
      </c>
      <c r="E19" s="217">
        <f t="shared" si="4"/>
        <v>3.8607847326241312E-2</v>
      </c>
      <c r="F19">
        <f>SUM(' H Boy'!N119:N121)</f>
        <v>0.10320933333333335</v>
      </c>
      <c r="G19" s="217">
        <f t="shared" si="5"/>
        <v>2.4747779961485323E-2</v>
      </c>
      <c r="H19">
        <f>SUM(' H Boy'!Q119:Q121)</f>
        <v>0.22678773333333335</v>
      </c>
      <c r="I19" s="217">
        <f t="shared" si="6"/>
        <v>3.5864104729533768E-2</v>
      </c>
      <c r="J19" s="207">
        <f t="shared" si="7"/>
        <v>0.10184533333333334</v>
      </c>
      <c r="K19" s="327">
        <f>J19/$J$22</f>
        <v>2.4068238015221621E-2</v>
      </c>
      <c r="L19">
        <f t="shared" si="8"/>
        <v>0.25156706666666667</v>
      </c>
      <c r="M19" s="327">
        <f>L19/$L$22</f>
        <v>3.7320869959467595E-2</v>
      </c>
      <c r="P19" s="203" t="s">
        <v>414</v>
      </c>
      <c r="Q19" s="207">
        <f>SUM('H Father'!H120:H122)</f>
        <v>0.12331800000000002</v>
      </c>
      <c r="R19" s="217">
        <f t="shared" si="9"/>
        <v>2.2809213388672873E-2</v>
      </c>
      <c r="S19" s="207">
        <f>SUM('H Father'!K120:K122)</f>
        <v>0.33915240000000008</v>
      </c>
      <c r="T19" s="217">
        <f t="shared" si="10"/>
        <v>3.8467405840754837E-2</v>
      </c>
      <c r="U19" s="207">
        <f>SUM('H Father'!N120:N122)</f>
        <v>0.12666600000000003</v>
      </c>
      <c r="V19" s="217">
        <f t="shared" si="11"/>
        <v>2.3998636990743193E-2</v>
      </c>
      <c r="W19" s="207">
        <f>SUM('H Father'!Q120:Q122)</f>
        <v>0.27833040000000003</v>
      </c>
      <c r="X19" s="217">
        <f t="shared" si="12"/>
        <v>3.6211839821440071E-2</v>
      </c>
      <c r="Y19" s="207">
        <f t="shared" si="13"/>
        <v>0.12499200000000002</v>
      </c>
      <c r="Z19" s="327">
        <f>Y19/$Y$22</f>
        <v>2.3396775560885746E-2</v>
      </c>
      <c r="AA19">
        <f t="shared" si="14"/>
        <v>0.30874140000000005</v>
      </c>
      <c r="AB19" s="327">
        <f t="shared" si="15"/>
        <v>3.7416876322539476E-2</v>
      </c>
    </row>
    <row r="20" spans="1:28" ht="17" x14ac:dyDescent="0.2">
      <c r="A20" s="212" t="s">
        <v>618</v>
      </c>
      <c r="B20" s="209">
        <f>SUM(' H Boy'!H124:H127)</f>
        <v>0.26856960000000002</v>
      </c>
      <c r="C20" s="218">
        <f>B20/$B$22</f>
        <v>6.2565712122991585E-2</v>
      </c>
      <c r="D20" s="210">
        <f>SUM(' H Boy'!K124:K127)</f>
        <v>0.61117142857142859</v>
      </c>
      <c r="E20" s="218">
        <f t="shared" si="4"/>
        <v>8.5385636304458876E-2</v>
      </c>
      <c r="F20" s="210">
        <f>SUM(' H Boy'!N124:N127)</f>
        <v>0.26881500000000003</v>
      </c>
      <c r="G20" s="218">
        <f t="shared" si="5"/>
        <v>6.4457101460591512E-2</v>
      </c>
      <c r="H20" s="210">
        <f>SUM(' H Boy'!Q124:Q127)</f>
        <v>0.63774285714285717</v>
      </c>
      <c r="I20" s="218">
        <f t="shared" si="6"/>
        <v>0.10085235335663446</v>
      </c>
      <c r="J20" s="209">
        <f>(B20+F20)/2</f>
        <v>0.2686923</v>
      </c>
      <c r="K20" s="329">
        <f>J20/$J$22</f>
        <v>6.3497757016430123E-2</v>
      </c>
      <c r="L20" s="210">
        <f>(D20+H20)/2</f>
        <v>0.62445714285714282</v>
      </c>
      <c r="M20" s="329">
        <f>L20/$L$22</f>
        <v>9.2640440311339542E-2</v>
      </c>
      <c r="P20" s="216" t="s">
        <v>619</v>
      </c>
      <c r="Q20" s="209">
        <f>SUM('H Father'!H125:H129)</f>
        <v>0.46791622857142851</v>
      </c>
      <c r="R20" s="218">
        <f t="shared" si="9"/>
        <v>8.6546985075242389E-2</v>
      </c>
      <c r="S20" s="209">
        <f>SUM('H Father'!K125:K129)</f>
        <v>0.78214571428571422</v>
      </c>
      <c r="T20" s="218">
        <f t="shared" si="10"/>
        <v>8.8712674945056094E-2</v>
      </c>
      <c r="U20" s="209">
        <f>SUM('H Father'!N125:N129)</f>
        <v>0.48968178571428567</v>
      </c>
      <c r="V20" s="218">
        <f t="shared" si="11"/>
        <v>9.2777031060711126E-2</v>
      </c>
      <c r="W20" s="209">
        <f>SUM('H Father'!Q125:Q129)</f>
        <v>0.70816000000000001</v>
      </c>
      <c r="X20" s="218">
        <f t="shared" si="12"/>
        <v>9.2134299695437502E-2</v>
      </c>
      <c r="Y20" s="209">
        <f>(Q20+U20)/2</f>
        <v>0.47879900714285706</v>
      </c>
      <c r="Z20" s="329">
        <f>Y20/$Y$22</f>
        <v>8.9624559242962407E-2</v>
      </c>
      <c r="AA20" s="210">
        <f>(S20+W20)/2</f>
        <v>0.74515285714285717</v>
      </c>
      <c r="AB20" s="329">
        <f t="shared" si="15"/>
        <v>9.0306296133596614E-2</v>
      </c>
    </row>
    <row r="21" spans="1:28" x14ac:dyDescent="0.2">
      <c r="C21" s="83"/>
      <c r="E21" s="83"/>
      <c r="G21" s="83"/>
      <c r="I21" s="83"/>
      <c r="R21" s="83"/>
      <c r="T21" s="83"/>
      <c r="V21" s="83"/>
      <c r="X21" s="83"/>
    </row>
    <row r="22" spans="1:28" ht="18" thickBot="1" x14ac:dyDescent="0.25">
      <c r="A22" s="213" t="s">
        <v>527</v>
      </c>
      <c r="B22" s="214">
        <f>SUM(B8:B13,B18:B20)</f>
        <v>4.2926003858478632</v>
      </c>
      <c r="C22" s="214">
        <f>SUM(C8:C13,C18:C20)</f>
        <v>0.99999999999999989</v>
      </c>
      <c r="D22" s="214">
        <f>SUM(D8:D13,D18:D20)</f>
        <v>7.1577779943242392</v>
      </c>
      <c r="E22" s="214">
        <f t="shared" ref="E22:M22" si="28">SUM(E8:E13,E18:E20)</f>
        <v>0.99999999999999989</v>
      </c>
      <c r="F22" s="214">
        <f t="shared" si="28"/>
        <v>4.1704481571258842</v>
      </c>
      <c r="G22" s="214">
        <f t="shared" si="28"/>
        <v>1</v>
      </c>
      <c r="H22" s="214">
        <f t="shared" si="28"/>
        <v>6.3235297533183834</v>
      </c>
      <c r="I22" s="214">
        <f t="shared" si="28"/>
        <v>1</v>
      </c>
      <c r="J22" s="227">
        <f t="shared" si="28"/>
        <v>4.2315242714868733</v>
      </c>
      <c r="K22" s="214">
        <f t="shared" si="28"/>
        <v>1</v>
      </c>
      <c r="L22" s="227">
        <f t="shared" si="28"/>
        <v>6.7406538738213113</v>
      </c>
      <c r="M22" s="214">
        <f t="shared" si="28"/>
        <v>1</v>
      </c>
      <c r="P22" s="213" t="s">
        <v>527</v>
      </c>
      <c r="Q22" s="214">
        <f>SUM(Q8:Q13,Q18:Q20)</f>
        <v>5.4064994657483512</v>
      </c>
      <c r="R22" s="214">
        <f>SUM(R8:R13,R18:R20)</f>
        <v>0.99999999999999989</v>
      </c>
      <c r="S22" s="214">
        <f>SUM(S8:S13,S18:S20)</f>
        <v>8.8166174086187077</v>
      </c>
      <c r="T22" s="214">
        <f t="shared" ref="T22:AB22" si="29">SUM(T8:T13,T18:T20)</f>
        <v>1</v>
      </c>
      <c r="U22" s="214">
        <f t="shared" si="29"/>
        <v>5.2780497512778712</v>
      </c>
      <c r="V22" s="214">
        <f t="shared" si="29"/>
        <v>1</v>
      </c>
      <c r="W22" s="214">
        <f t="shared" si="29"/>
        <v>7.6861711907608727</v>
      </c>
      <c r="X22" s="214">
        <f t="shared" si="29"/>
        <v>1</v>
      </c>
      <c r="Y22" s="227">
        <f t="shared" si="29"/>
        <v>5.3422746085131108</v>
      </c>
      <c r="Z22" s="214">
        <f t="shared" si="29"/>
        <v>1</v>
      </c>
      <c r="AA22" s="227">
        <f t="shared" si="29"/>
        <v>8.2513942996897889</v>
      </c>
      <c r="AB22" s="214">
        <f t="shared" si="29"/>
        <v>1.0000000000000002</v>
      </c>
    </row>
    <row r="23" spans="1:28" ht="17" thickTop="1" x14ac:dyDescent="0.2"/>
    <row r="24" spans="1:28" x14ac:dyDescent="0.2">
      <c r="A24" s="463" t="s">
        <v>528</v>
      </c>
      <c r="B24" s="458" t="s">
        <v>427</v>
      </c>
      <c r="C24" s="459"/>
      <c r="D24" s="459"/>
      <c r="E24" s="460"/>
      <c r="F24" s="458" t="s">
        <v>519</v>
      </c>
      <c r="G24" s="459"/>
      <c r="H24" s="459"/>
      <c r="I24" s="460"/>
      <c r="J24" s="458" t="s">
        <v>490</v>
      </c>
      <c r="K24" s="459"/>
      <c r="L24" s="459"/>
      <c r="M24" s="460"/>
      <c r="P24" s="463" t="s">
        <v>528</v>
      </c>
      <c r="Q24" s="458" t="s">
        <v>427</v>
      </c>
      <c r="R24" s="459"/>
      <c r="S24" s="459"/>
      <c r="T24" s="460"/>
      <c r="U24" s="458" t="s">
        <v>519</v>
      </c>
      <c r="V24" s="459"/>
      <c r="W24" s="459"/>
      <c r="X24" s="460"/>
      <c r="Y24" s="458" t="s">
        <v>490</v>
      </c>
      <c r="Z24" s="459"/>
      <c r="AA24" s="459"/>
      <c r="AB24" s="460"/>
    </row>
    <row r="25" spans="1:28" x14ac:dyDescent="0.2">
      <c r="A25" s="464"/>
      <c r="B25" s="453" t="s">
        <v>483</v>
      </c>
      <c r="C25" s="454"/>
      <c r="D25" s="454" t="s">
        <v>485</v>
      </c>
      <c r="E25" s="461"/>
      <c r="F25" s="454" t="s">
        <v>520</v>
      </c>
      <c r="G25" s="454"/>
      <c r="H25" s="454" t="s">
        <v>485</v>
      </c>
      <c r="I25" s="461"/>
      <c r="J25" s="453" t="s">
        <v>483</v>
      </c>
      <c r="K25" s="454"/>
      <c r="L25" s="454" t="s">
        <v>485</v>
      </c>
      <c r="M25" s="461"/>
      <c r="P25" s="464"/>
      <c r="Q25" s="453" t="s">
        <v>483</v>
      </c>
      <c r="R25" s="454"/>
      <c r="S25" s="454" t="s">
        <v>485</v>
      </c>
      <c r="T25" s="461"/>
      <c r="U25" s="454" t="s">
        <v>520</v>
      </c>
      <c r="V25" s="454"/>
      <c r="W25" s="454" t="s">
        <v>485</v>
      </c>
      <c r="X25" s="461"/>
      <c r="Y25" s="453" t="s">
        <v>483</v>
      </c>
      <c r="Z25" s="454"/>
      <c r="AA25" s="454" t="s">
        <v>485</v>
      </c>
      <c r="AB25" s="461"/>
    </row>
    <row r="26" spans="1:28" x14ac:dyDescent="0.2">
      <c r="A26" s="465"/>
      <c r="B26" s="455" t="s">
        <v>521</v>
      </c>
      <c r="C26" s="456"/>
      <c r="D26" s="456" t="s">
        <v>522</v>
      </c>
      <c r="E26" s="456"/>
      <c r="F26" s="455" t="s">
        <v>521</v>
      </c>
      <c r="G26" s="456"/>
      <c r="H26" s="456" t="s">
        <v>522</v>
      </c>
      <c r="I26" s="456"/>
      <c r="J26" s="455" t="s">
        <v>521</v>
      </c>
      <c r="K26" s="456"/>
      <c r="L26" s="456" t="s">
        <v>522</v>
      </c>
      <c r="M26" s="456"/>
      <c r="P26" s="465"/>
      <c r="Q26" s="455" t="s">
        <v>521</v>
      </c>
      <c r="R26" s="456"/>
      <c r="S26" s="456" t="s">
        <v>522</v>
      </c>
      <c r="T26" s="456"/>
      <c r="U26" s="455" t="s">
        <v>521</v>
      </c>
      <c r="V26" s="456"/>
      <c r="W26" s="456" t="s">
        <v>522</v>
      </c>
      <c r="X26" s="456"/>
      <c r="Y26" s="455" t="s">
        <v>521</v>
      </c>
      <c r="Z26" s="456"/>
      <c r="AA26" s="456" t="s">
        <v>522</v>
      </c>
      <c r="AB26" s="457"/>
    </row>
    <row r="27" spans="1:28" x14ac:dyDescent="0.2">
      <c r="A27" s="202"/>
      <c r="B27" s="199" t="s">
        <v>523</v>
      </c>
      <c r="C27" s="219" t="s">
        <v>386</v>
      </c>
      <c r="D27" s="199" t="s">
        <v>523</v>
      </c>
      <c r="E27" s="219" t="s">
        <v>386</v>
      </c>
      <c r="F27" s="199" t="s">
        <v>523</v>
      </c>
      <c r="G27" s="219" t="s">
        <v>386</v>
      </c>
      <c r="H27" s="199" t="s">
        <v>523</v>
      </c>
      <c r="I27" s="219" t="s">
        <v>386</v>
      </c>
      <c r="J27" s="199" t="s">
        <v>523</v>
      </c>
      <c r="K27" s="219" t="s">
        <v>386</v>
      </c>
      <c r="L27" s="199" t="s">
        <v>523</v>
      </c>
      <c r="M27" s="219" t="s">
        <v>386</v>
      </c>
      <c r="P27" s="202"/>
      <c r="Q27" s="199" t="s">
        <v>523</v>
      </c>
      <c r="R27" s="200" t="s">
        <v>386</v>
      </c>
      <c r="S27" s="199" t="s">
        <v>523</v>
      </c>
      <c r="T27" s="219" t="s">
        <v>386</v>
      </c>
      <c r="U27" s="199" t="s">
        <v>523</v>
      </c>
      <c r="V27" s="219" t="s">
        <v>386</v>
      </c>
      <c r="W27" s="199" t="s">
        <v>523</v>
      </c>
      <c r="X27" s="219" t="s">
        <v>386</v>
      </c>
      <c r="Y27" s="199" t="s">
        <v>523</v>
      </c>
      <c r="Z27" s="219" t="s">
        <v>386</v>
      </c>
      <c r="AA27" s="199" t="s">
        <v>523</v>
      </c>
      <c r="AB27" s="219" t="s">
        <v>386</v>
      </c>
    </row>
    <row r="28" spans="1:28" ht="17" x14ac:dyDescent="0.2">
      <c r="A28" s="203" t="s">
        <v>390</v>
      </c>
      <c r="B28" s="207">
        <f>SUM('M Boy'!H12:H16)</f>
        <v>0.49047680000000005</v>
      </c>
      <c r="C28" s="217">
        <f>B28/$B$42</f>
        <v>0.1228003793291573</v>
      </c>
      <c r="D28">
        <f>SUM('M Boy'!K12:K16)</f>
        <v>0.68830080000000005</v>
      </c>
      <c r="E28" s="217">
        <f>D28/$D$42</f>
        <v>0.10773619260807789</v>
      </c>
      <c r="F28" s="207">
        <f>SUM('M Boy'!N12:N16)</f>
        <v>0.5725808</v>
      </c>
      <c r="G28" s="217">
        <f>F28/$F$42</f>
        <v>0.14736096537706952</v>
      </c>
      <c r="H28">
        <f>SUM('M Boy'!Q12:Q16)</f>
        <v>0.72948480000000004</v>
      </c>
      <c r="I28" s="217">
        <f>H28/$H$42</f>
        <v>0.12730453404112516</v>
      </c>
      <c r="J28" s="207">
        <f>(B28+F28)/2</f>
        <v>0.53152880000000002</v>
      </c>
      <c r="K28" s="217">
        <f>J28/$J$42</f>
        <v>0.13491152731149114</v>
      </c>
      <c r="L28">
        <f>(D28+H28)/2</f>
        <v>0.7088928000000001</v>
      </c>
      <c r="M28" s="217">
        <f>L28/$L$42</f>
        <v>0.11698870708266075</v>
      </c>
      <c r="P28" s="203" t="s">
        <v>390</v>
      </c>
      <c r="Q28" s="207">
        <f>SUM('M Father '!H12:H16)</f>
        <v>0.60194880000000006</v>
      </c>
      <c r="R28" s="217">
        <f>Q28/$Q$42</f>
        <v>0.11980532588366423</v>
      </c>
      <c r="S28">
        <f>SUM('M Father '!K12:K16)</f>
        <v>0.84473280000000006</v>
      </c>
      <c r="T28" s="217">
        <f>S28/$S$42</f>
        <v>0.10751259683816097</v>
      </c>
      <c r="U28" s="207">
        <f>SUM('M Father '!N12:N16)</f>
        <v>0.70271280000000003</v>
      </c>
      <c r="V28" s="217">
        <f>U28/$U$42</f>
        <v>0.14304129499034648</v>
      </c>
      <c r="W28">
        <f>SUM('M Father '!Q12:Q16)</f>
        <v>0.89527679999999998</v>
      </c>
      <c r="X28" s="217">
        <f>W28/$W$42</f>
        <v>0.12896022722157727</v>
      </c>
      <c r="Y28">
        <f>(Q28+U28)/2</f>
        <v>0.6523308000000001</v>
      </c>
      <c r="Z28" s="331">
        <f>Y28/$Y$42</f>
        <v>0.13129267552921423</v>
      </c>
      <c r="AA28">
        <f>(S28+W28)/2</f>
        <v>0.87000480000000002</v>
      </c>
      <c r="AB28" s="217">
        <f>AA28/$AA$42</f>
        <v>0.11757354283755649</v>
      </c>
    </row>
    <row r="29" spans="1:28" ht="34" x14ac:dyDescent="0.2">
      <c r="A29" s="9" t="s">
        <v>39</v>
      </c>
      <c r="B29" s="207">
        <f>SUM('M Boy'!H19)</f>
        <v>4.0480000000000002E-2</v>
      </c>
      <c r="C29" s="217">
        <f t="shared" ref="C29:C40" si="30">B29/$B$42</f>
        <v>1.0134953080847631E-2</v>
      </c>
      <c r="D29">
        <f>SUM('M Boy'!K19)</f>
        <v>6.7320000000000005E-2</v>
      </c>
      <c r="E29" s="217">
        <f t="shared" ref="E29:E40" si="31">D29/$D$42</f>
        <v>1.0537254186506544E-2</v>
      </c>
      <c r="F29" s="207">
        <f>SUM('M Boy'!N19)</f>
        <v>4.224E-2</v>
      </c>
      <c r="G29" s="217">
        <f t="shared" ref="G29:G40" si="32">F29/$F$42</f>
        <v>1.0871002271692338E-2</v>
      </c>
      <c r="H29">
        <f>SUM('M Boy'!Q19)</f>
        <v>6.4239999999999992E-2</v>
      </c>
      <c r="I29" s="217">
        <f t="shared" ref="I29:I40" si="33">H29/$H$42</f>
        <v>1.1210710993295377E-2</v>
      </c>
      <c r="J29" s="207">
        <f>(B29+F29)/2</f>
        <v>4.1360000000000001E-2</v>
      </c>
      <c r="K29" s="217">
        <f t="shared" ref="K29:K40" si="34">J29/$J$42</f>
        <v>1.0497908616811118E-2</v>
      </c>
      <c r="L29">
        <f>(D29+H29)/2</f>
        <v>6.5780000000000005E-2</v>
      </c>
      <c r="M29" s="217">
        <f t="shared" ref="M29:M40" si="35">L29/$L$42</f>
        <v>1.0855685305165215E-2</v>
      </c>
      <c r="P29" s="203" t="s">
        <v>39</v>
      </c>
      <c r="Q29" s="207">
        <f>SUM('M Father '!H19)</f>
        <v>4.9680000000000002E-2</v>
      </c>
      <c r="R29" s="217">
        <f t="shared" ref="R29:R40" si="36">Q29/$Q$42</f>
        <v>9.8877655207559815E-3</v>
      </c>
      <c r="S29">
        <f>SUM('M Father '!K19)</f>
        <v>8.2619999999999999E-2</v>
      </c>
      <c r="T29" s="217">
        <f t="shared" ref="T29:T40" si="37">S29/$S$42</f>
        <v>1.0515385161756307E-2</v>
      </c>
      <c r="U29" s="207">
        <f>SUM('M Father '!N19)</f>
        <v>5.1839999999999997E-2</v>
      </c>
      <c r="V29" s="217">
        <f t="shared" ref="V29:V40" si="38">U29/$U$42</f>
        <v>1.0552334797800128E-2</v>
      </c>
      <c r="W29">
        <f>SUM('M Father '!Q19)</f>
        <v>7.8839999999999993E-2</v>
      </c>
      <c r="X29" s="217">
        <f t="shared" ref="X29:X40" si="39">W29/$W$42</f>
        <v>1.1356514894777963E-2</v>
      </c>
      <c r="Y29">
        <f>(Q29+U29)/2</f>
        <v>5.076E-2</v>
      </c>
      <c r="Z29" s="331">
        <f t="shared" ref="Z29:Z40" si="40">Y29/$Y$42</f>
        <v>1.0216313885321546E-2</v>
      </c>
      <c r="AA29">
        <f>(S29+W29)/2</f>
        <v>8.0729999999999996E-2</v>
      </c>
      <c r="AB29" s="217">
        <f t="shared" ref="AB29:AB40" si="41">AA29/$AA$42</f>
        <v>1.0909953730457504E-2</v>
      </c>
    </row>
    <row r="30" spans="1:28" ht="17" x14ac:dyDescent="0.2">
      <c r="A30" s="203" t="s">
        <v>524</v>
      </c>
      <c r="B30" s="207">
        <f>SUM('M Boy'!H24:H46)</f>
        <v>0.66837648344987388</v>
      </c>
      <c r="C30" s="217">
        <f t="shared" si="30"/>
        <v>0.16734101531883411</v>
      </c>
      <c r="D30">
        <f>SUM('M Boy'!K24:K46)</f>
        <v>1.0788938077314454</v>
      </c>
      <c r="E30" s="217">
        <f t="shared" si="31"/>
        <v>0.16887371200704335</v>
      </c>
      <c r="F30" s="207">
        <f>SUM('M Boy'!N24:N46)</f>
        <v>0.59357374441327326</v>
      </c>
      <c r="G30" s="217">
        <f t="shared" si="32"/>
        <v>0.15276376713858006</v>
      </c>
      <c r="H30">
        <f>SUM('M Boy'!Q24:Q46)</f>
        <v>0.86959472654602177</v>
      </c>
      <c r="I30" s="217">
        <f t="shared" si="33"/>
        <v>0.15175552865194855</v>
      </c>
      <c r="J30" s="207">
        <f t="shared" ref="J30:J40" si="42">(B30+F30)/2</f>
        <v>0.63097511393157357</v>
      </c>
      <c r="K30" s="217">
        <f t="shared" si="34"/>
        <v>0.16015278253229312</v>
      </c>
      <c r="L30">
        <f t="shared" ref="L30:L40" si="43">(D30+H30)/2</f>
        <v>0.97424426713873358</v>
      </c>
      <c r="M30" s="217">
        <f t="shared" si="35"/>
        <v>0.16077970772908792</v>
      </c>
      <c r="P30" s="203" t="s">
        <v>524</v>
      </c>
      <c r="Q30" s="207">
        <f>SUM('M Father '!H24:H46)</f>
        <v>0.8202802296884818</v>
      </c>
      <c r="R30" s="217">
        <f t="shared" si="36"/>
        <v>0.16325963310127953</v>
      </c>
      <c r="S30">
        <f>SUM('M Father '!K24:K46)</f>
        <v>1.3240969458522283</v>
      </c>
      <c r="T30" s="217">
        <f t="shared" si="37"/>
        <v>0.16852323138636366</v>
      </c>
      <c r="U30" s="207">
        <f>SUM('M Father '!N24:N46)</f>
        <v>0.72847686814356261</v>
      </c>
      <c r="V30" s="217">
        <f t="shared" si="38"/>
        <v>0.14828572154906966</v>
      </c>
      <c r="W30">
        <f>SUM('M Father '!Q24:Q46)</f>
        <v>1.0672298916701175</v>
      </c>
      <c r="X30" s="217">
        <f t="shared" si="39"/>
        <v>0.15372922578518472</v>
      </c>
      <c r="Y30">
        <f t="shared" ref="Y30:Y40" si="44">(Q30+U30)/2</f>
        <v>0.7743785489160222</v>
      </c>
      <c r="Z30" s="331">
        <f t="shared" si="40"/>
        <v>0.15585686213132208</v>
      </c>
      <c r="AA30">
        <f t="shared" ref="AA30:AA40" si="45">(S30+W30)/2</f>
        <v>1.195663418761173</v>
      </c>
      <c r="AB30" s="217">
        <f t="shared" si="41"/>
        <v>0.16158345814300795</v>
      </c>
    </row>
    <row r="31" spans="1:28" ht="17" x14ac:dyDescent="0.2">
      <c r="A31" s="203" t="s">
        <v>399</v>
      </c>
      <c r="B31" s="207">
        <f>SUM('M Boy'!H49:H58)</f>
        <v>0.41177016238793296</v>
      </c>
      <c r="C31" s="217">
        <f t="shared" si="30"/>
        <v>0.10309464614364403</v>
      </c>
      <c r="D31">
        <f>SUM('M Boy'!K49:K58)</f>
        <v>0.61965481083182083</v>
      </c>
      <c r="E31" s="217">
        <f t="shared" si="31"/>
        <v>9.6991388140619791E-2</v>
      </c>
      <c r="F31" s="207">
        <f>SUM('M Boy'!N49:N58)</f>
        <v>0.35208543262279474</v>
      </c>
      <c r="G31" s="217">
        <f t="shared" si="32"/>
        <v>9.0613672771595211E-2</v>
      </c>
      <c r="H31">
        <f>SUM('M Boy'!Q49:Q58)</f>
        <v>0.5641038490268675</v>
      </c>
      <c r="I31" s="217">
        <f t="shared" si="33"/>
        <v>9.84434187678353E-2</v>
      </c>
      <c r="J31" s="207">
        <f t="shared" si="42"/>
        <v>0.38192779750536388</v>
      </c>
      <c r="K31" s="217">
        <f t="shared" si="34"/>
        <v>9.69401140336376E-2</v>
      </c>
      <c r="L31">
        <f t="shared" si="43"/>
        <v>0.59187932992934411</v>
      </c>
      <c r="M31" s="217">
        <f t="shared" si="35"/>
        <v>9.7677952939267468E-2</v>
      </c>
      <c r="P31" s="203" t="s">
        <v>399</v>
      </c>
      <c r="Q31" s="207">
        <f>SUM('M Father '!H49:H58)</f>
        <v>0.50535429020337241</v>
      </c>
      <c r="R31" s="217">
        <f t="shared" si="36"/>
        <v>0.10058020785907847</v>
      </c>
      <c r="S31">
        <f>SUM('M Father '!K49:K58)</f>
        <v>0.76048544965723464</v>
      </c>
      <c r="T31" s="217">
        <f t="shared" si="37"/>
        <v>9.6790092145452172E-2</v>
      </c>
      <c r="U31" s="207">
        <f>SUM('M Father '!N49:N58)</f>
        <v>0.43210484912797542</v>
      </c>
      <c r="V31" s="217">
        <f t="shared" si="38"/>
        <v>8.7957465967424944E-2</v>
      </c>
      <c r="W31">
        <f>SUM('M Father '!Q49:Q58)</f>
        <v>0.69230926926024638</v>
      </c>
      <c r="X31" s="217">
        <f t="shared" si="39"/>
        <v>9.9723750991207963E-2</v>
      </c>
      <c r="Y31">
        <f t="shared" si="44"/>
        <v>0.46872956966567392</v>
      </c>
      <c r="Z31" s="331">
        <f t="shared" si="40"/>
        <v>9.4339803211903425E-2</v>
      </c>
      <c r="AA31">
        <f t="shared" si="45"/>
        <v>0.72639735945874051</v>
      </c>
      <c r="AB31" s="217">
        <f t="shared" si="41"/>
        <v>9.8166252714249544E-2</v>
      </c>
    </row>
    <row r="32" spans="1:28" ht="17" x14ac:dyDescent="0.2">
      <c r="A32" s="9" t="s">
        <v>400</v>
      </c>
      <c r="B32" s="207">
        <f>SUM('M Boy'!H61:H69)</f>
        <v>0.634216</v>
      </c>
      <c r="C32" s="217">
        <f t="shared" si="30"/>
        <v>0.15878827576884538</v>
      </c>
      <c r="D32">
        <f>SUM('M Boy'!K61:K69)</f>
        <v>0.86548000000000003</v>
      </c>
      <c r="E32" s="217">
        <f t="shared" si="31"/>
        <v>0.13546914369188479</v>
      </c>
      <c r="F32" s="207">
        <f>SUM('M Boy'!N61:N69)</f>
        <v>0.65445600000000004</v>
      </c>
      <c r="G32" s="217">
        <f t="shared" si="32"/>
        <v>0.16843259144703318</v>
      </c>
      <c r="H32">
        <f>SUM('M Boy'!Q61:Q69)</f>
        <v>0.84928800000000004</v>
      </c>
      <c r="I32" s="217">
        <f t="shared" si="33"/>
        <v>0.14821174218670369</v>
      </c>
      <c r="J32" s="207">
        <f t="shared" si="42"/>
        <v>0.64433600000000002</v>
      </c>
      <c r="K32" s="217">
        <f t="shared" si="34"/>
        <v>0.16354401466444896</v>
      </c>
      <c r="L32">
        <f t="shared" si="43"/>
        <v>0.85738400000000003</v>
      </c>
      <c r="M32" s="217">
        <f t="shared" si="35"/>
        <v>0.14149423669327715</v>
      </c>
      <c r="P32" s="203" t="s">
        <v>400</v>
      </c>
      <c r="Q32" s="207">
        <f>SUM('M Father '!H61:H69)</f>
        <v>0.77835599999999994</v>
      </c>
      <c r="R32" s="217">
        <f t="shared" si="36"/>
        <v>0.15491549153932249</v>
      </c>
      <c r="S32">
        <f>SUM('M Father '!K61:K69)</f>
        <v>1.0621800000000001</v>
      </c>
      <c r="T32" s="217">
        <f t="shared" si="37"/>
        <v>0.1351879909357821</v>
      </c>
      <c r="U32" s="207">
        <f>SUM('M Father '!N61:N69)</f>
        <v>0.80319600000000013</v>
      </c>
      <c r="V32" s="217">
        <f t="shared" si="38"/>
        <v>0.16349523727341575</v>
      </c>
      <c r="W32">
        <f>SUM('M Father '!Q61:Q69)</f>
        <v>1.0423080000000002</v>
      </c>
      <c r="X32" s="217">
        <f t="shared" si="39"/>
        <v>0.15013934965685227</v>
      </c>
      <c r="Y32">
        <f t="shared" si="44"/>
        <v>0.79077600000000003</v>
      </c>
      <c r="Z32" s="331">
        <f t="shared" si="40"/>
        <v>0.15915712823047737</v>
      </c>
      <c r="AA32">
        <f t="shared" si="45"/>
        <v>1.0522440000000002</v>
      </c>
      <c r="AB32" s="217">
        <f t="shared" si="41"/>
        <v>0.14220157751952839</v>
      </c>
    </row>
    <row r="33" spans="1:28" ht="17" x14ac:dyDescent="0.2">
      <c r="A33" s="203" t="s">
        <v>156</v>
      </c>
      <c r="B33" s="207">
        <f>SUM('M Boy'!H71:H106)</f>
        <v>1.0649837122459238</v>
      </c>
      <c r="C33" s="217">
        <f t="shared" si="30"/>
        <v>0.26663932696342324</v>
      </c>
      <c r="D33">
        <f>SUM('M Boy'!K71:K106)</f>
        <v>1.6867217796451919</v>
      </c>
      <c r="E33" s="217">
        <f t="shared" si="31"/>
        <v>0.26401390573437411</v>
      </c>
      <c r="F33" s="207">
        <f>SUM('M Boy'!N71:N106)</f>
        <v>1.0580749961466029</v>
      </c>
      <c r="G33" s="217">
        <f t="shared" si="32"/>
        <v>0.2723090834926748</v>
      </c>
      <c r="H33">
        <f>SUM('M Boy'!Q71:Q106)</f>
        <v>1.4614375016411087</v>
      </c>
      <c r="I33" s="217">
        <f t="shared" si="33"/>
        <v>0.25503974884280994</v>
      </c>
      <c r="J33" s="207">
        <f t="shared" si="42"/>
        <v>1.0615293541962634</v>
      </c>
      <c r="K33" s="217">
        <f t="shared" si="34"/>
        <v>0.2694351584723137</v>
      </c>
      <c r="L33">
        <f t="shared" si="43"/>
        <v>1.5740796406431503</v>
      </c>
      <c r="M33" s="217">
        <f t="shared" si="35"/>
        <v>0.25977064797947075</v>
      </c>
      <c r="P33" s="203" t="s">
        <v>156</v>
      </c>
      <c r="Q33" s="207">
        <f>SUM('M Father '!H72:H106)</f>
        <v>1.2912603221719456</v>
      </c>
      <c r="R33" s="217">
        <f t="shared" si="36"/>
        <v>0.25699837544066073</v>
      </c>
      <c r="S33">
        <f>SUM('M Father '!K72:K106)</f>
        <v>2.0543024957983191</v>
      </c>
      <c r="T33" s="217">
        <f t="shared" si="37"/>
        <v>0.26145947690724514</v>
      </c>
      <c r="U33" s="207">
        <f>SUM('M Father '!N72:N106)</f>
        <v>1.2827814433227789</v>
      </c>
      <c r="V33" s="217">
        <f t="shared" si="38"/>
        <v>0.26111765552367344</v>
      </c>
      <c r="W33">
        <f>SUM('M Father '!Q72:Q106)</f>
        <v>1.777817245520581</v>
      </c>
      <c r="X33" s="217">
        <f t="shared" si="39"/>
        <v>0.2560858451160275</v>
      </c>
      <c r="Y33">
        <f t="shared" si="44"/>
        <v>1.2870208827473624</v>
      </c>
      <c r="Z33" s="331">
        <f t="shared" si="40"/>
        <v>0.25903485648366181</v>
      </c>
      <c r="AA33">
        <f t="shared" si="45"/>
        <v>1.91605987065945</v>
      </c>
      <c r="AB33" s="217">
        <f t="shared" si="41"/>
        <v>0.25893874066246736</v>
      </c>
    </row>
    <row r="34" spans="1:28" s="85" customFormat="1" ht="17" x14ac:dyDescent="0.2">
      <c r="A34" s="223" t="s">
        <v>525</v>
      </c>
      <c r="B34" s="224">
        <f>SUM('M Boy'!H72,'M Boy'!H75,'M Boy'!H78,'M Boy'!H84:H86)</f>
        <v>0.35853381196581202</v>
      </c>
      <c r="C34" s="222">
        <f>B34/$B$33</f>
        <v>0.33665661534832952</v>
      </c>
      <c r="D34" s="225">
        <f>SUM('M Boy'!K72,'M Boy'!K75,'M Boy'!K78,'M Boy'!K84:K86)</f>
        <v>0.83283933333333338</v>
      </c>
      <c r="E34" s="222">
        <f>D34/$D$33</f>
        <v>0.49376212685682175</v>
      </c>
      <c r="F34" s="224">
        <f>SUM('M Boy'!N72,'M Boy'!N75,'M Boy'!N78,'M Boy'!N84:N86)</f>
        <v>0.34565941196581201</v>
      </c>
      <c r="G34" s="222">
        <f>F34/$F$33</f>
        <v>0.32668706209358217</v>
      </c>
      <c r="H34" s="225">
        <f>SUM('M Boy'!Q72,'M Boy'!Q75,'M Boy'!Q78,'M Boy'!Q84:Q86)</f>
        <v>0.65753893333333335</v>
      </c>
      <c r="I34" s="222">
        <f>H34/$H$33</f>
        <v>0.4499261395680319</v>
      </c>
      <c r="J34" s="233">
        <f t="shared" si="42"/>
        <v>0.35209661196581199</v>
      </c>
      <c r="K34" s="222">
        <f>J34/$J$33</f>
        <v>0.33168805984870936</v>
      </c>
      <c r="L34" s="85">
        <f t="shared" si="43"/>
        <v>0.74518913333333336</v>
      </c>
      <c r="M34" s="222">
        <f>L34/$L$33</f>
        <v>0.47341259876079578</v>
      </c>
      <c r="P34" s="223" t="s">
        <v>525</v>
      </c>
      <c r="Q34" s="224">
        <f>SUM('M Father '!H72,'M Father '!H75,'M Father '!H78,'M Father '!H84:H86)</f>
        <v>0.44001876923076927</v>
      </c>
      <c r="R34" s="222">
        <f>Q34/$Q$33</f>
        <v>0.34076689392162385</v>
      </c>
      <c r="S34" s="225">
        <f>SUM('M Father '!K72,'M Father '!K75,'M Father '!K78,'M Father '!K84:K86)</f>
        <v>1.0221210000000001</v>
      </c>
      <c r="T34" s="222">
        <f>S34/$S$33</f>
        <v>0.49755135969047992</v>
      </c>
      <c r="U34" s="224">
        <f>SUM('M Father '!N72,'M Father '!N75,'M Father '!N78,'M Father '!N84:N86)</f>
        <v>0.42421836923076928</v>
      </c>
      <c r="V34" s="222">
        <f>U34/$U$33</f>
        <v>0.33070198469033019</v>
      </c>
      <c r="W34" s="225">
        <f>SUM('M Father '!Q72,'M Father '!Q75,'M Father '!Q78,'M Father '!Q84:Q86)</f>
        <v>0.80697960000000002</v>
      </c>
      <c r="X34" s="222">
        <f>W34/$W$33</f>
        <v>0.45391594779119154</v>
      </c>
      <c r="Y34" s="85">
        <f t="shared" si="44"/>
        <v>0.4321185692307693</v>
      </c>
      <c r="Z34" s="334">
        <f>Y34/$Y$33</f>
        <v>0.33575101618268977</v>
      </c>
      <c r="AA34" s="85">
        <f t="shared" si="45"/>
        <v>0.91455030000000004</v>
      </c>
      <c r="AB34" s="324">
        <f>AA34/$AA$33</f>
        <v>0.47730778876196567</v>
      </c>
    </row>
    <row r="35" spans="1:28" s="85" customFormat="1" ht="17" x14ac:dyDescent="0.2">
      <c r="A35" s="223" t="s">
        <v>170</v>
      </c>
      <c r="B35" s="224">
        <f>SUM('M Boy'!H81)</f>
        <v>4.5531200000000001E-2</v>
      </c>
      <c r="C35" s="222">
        <f t="shared" ref="C35:C37" si="46">B35/$B$33</f>
        <v>4.275295431887885E-2</v>
      </c>
      <c r="D35" s="225">
        <f>SUM('M Boy'!K81)</f>
        <v>9.1138666666666673E-2</v>
      </c>
      <c r="E35" s="222">
        <f t="shared" ref="E35:E37" si="47">D35/$D$33</f>
        <v>5.403301704317711E-2</v>
      </c>
      <c r="F35" s="224">
        <f>SUM('M Boy'!N81)</f>
        <v>4.5531200000000001E-2</v>
      </c>
      <c r="G35" s="222">
        <f t="shared" ref="G35:G37" si="48">F35/$F$33</f>
        <v>4.3032110356845975E-2</v>
      </c>
      <c r="H35" s="225">
        <f>SUM('M Boy'!Q81)</f>
        <v>7.2987200000000002E-2</v>
      </c>
      <c r="I35" s="222">
        <f t="shared" ref="I35:I37" si="49">H35/$H$33</f>
        <v>4.9942060415200544E-2</v>
      </c>
      <c r="J35" s="233">
        <f t="shared" si="42"/>
        <v>4.5531200000000001E-2</v>
      </c>
      <c r="K35" s="222">
        <f t="shared" ref="K35:K37" si="50">J35/$J$33</f>
        <v>4.2892078132379045E-2</v>
      </c>
      <c r="L35" s="85">
        <f t="shared" si="43"/>
        <v>8.2062933333333338E-2</v>
      </c>
      <c r="M35" s="222">
        <f t="shared" ref="M35:M37" si="51">L35/$L$33</f>
        <v>5.2133914456706523E-2</v>
      </c>
      <c r="P35" s="223" t="s">
        <v>170</v>
      </c>
      <c r="Q35" s="224">
        <f>SUM('M Father '!H81)</f>
        <v>5.5879200000000004E-2</v>
      </c>
      <c r="R35" s="222">
        <f t="shared" ref="R35:R37" si="52">Q35/$Q$33</f>
        <v>4.3274929958359756E-2</v>
      </c>
      <c r="S35" s="225">
        <f>SUM('M Father '!K81)</f>
        <v>0.11185200000000001</v>
      </c>
      <c r="T35" s="222">
        <f t="shared" ref="T35:T37" si="53">S35/$S$33</f>
        <v>5.4447677607738769E-2</v>
      </c>
      <c r="U35" s="224">
        <f>SUM('M Father '!N81)</f>
        <v>5.5879200000000004E-2</v>
      </c>
      <c r="V35" s="222">
        <f t="shared" ref="V35:V37" si="54">U35/$U$33</f>
        <v>4.3560966905832797E-2</v>
      </c>
      <c r="W35" s="225">
        <f>SUM('M Father '!Q81)</f>
        <v>8.9575200000000008E-2</v>
      </c>
      <c r="X35" s="222">
        <f t="shared" ref="X35:X37" si="55">W35/$W$33</f>
        <v>5.038493142402304E-2</v>
      </c>
      <c r="Y35" s="85">
        <f t="shared" si="44"/>
        <v>5.5879200000000004E-2</v>
      </c>
      <c r="Z35" s="334">
        <f t="shared" ref="Z35:Z37" si="56">Y35/$Y$33</f>
        <v>4.3417477330062008E-2</v>
      </c>
      <c r="AA35" s="85">
        <f t="shared" si="45"/>
        <v>0.10071360000000001</v>
      </c>
      <c r="AB35" s="324">
        <f t="shared" ref="AB35:AB37" si="57">AA35/$AA$33</f>
        <v>5.2562866924057768E-2</v>
      </c>
    </row>
    <row r="36" spans="1:28" s="85" customFormat="1" ht="17" x14ac:dyDescent="0.2">
      <c r="A36" s="223" t="s">
        <v>526</v>
      </c>
      <c r="B36" s="224">
        <f>SUM('M Boy'!H89:H98)</f>
        <v>0.29945870028011207</v>
      </c>
      <c r="C36" s="222">
        <f t="shared" si="46"/>
        <v>0.28118617856473066</v>
      </c>
      <c r="D36" s="225">
        <f>SUM('M Boy'!K89:K98)</f>
        <v>0.3297837796451914</v>
      </c>
      <c r="E36" s="222">
        <f t="shared" si="47"/>
        <v>0.19551759135674565</v>
      </c>
      <c r="F36" s="224">
        <f>SUM('M Boy'!N89:N98)</f>
        <v>0.30542438418079099</v>
      </c>
      <c r="G36" s="222">
        <f t="shared" si="48"/>
        <v>0.28866043077580911</v>
      </c>
      <c r="H36" s="225">
        <f>SUM('M Boy'!Q89:Q98)</f>
        <v>0.33315136830777509</v>
      </c>
      <c r="I36" s="222">
        <f t="shared" si="49"/>
        <v>0.22796142013166187</v>
      </c>
      <c r="J36" s="233">
        <f t="shared" si="42"/>
        <v>0.3024415422304515</v>
      </c>
      <c r="K36" s="222">
        <f t="shared" si="50"/>
        <v>0.2849111435636606</v>
      </c>
      <c r="L36" s="85">
        <f t="shared" si="43"/>
        <v>0.33146757397648324</v>
      </c>
      <c r="M36" s="222">
        <f t="shared" si="51"/>
        <v>0.21057865524583591</v>
      </c>
      <c r="P36" s="223" t="s">
        <v>526</v>
      </c>
      <c r="Q36" s="224">
        <f>SUM('M Father '!H89:H98)</f>
        <v>0.35175235294117646</v>
      </c>
      <c r="R36" s="222">
        <f t="shared" si="52"/>
        <v>0.27241009957582879</v>
      </c>
      <c r="S36" s="225">
        <f>SUM('M Father '!K89:K98)</f>
        <v>0.3889694957983193</v>
      </c>
      <c r="T36" s="222">
        <f t="shared" si="53"/>
        <v>0.18934382672166422</v>
      </c>
      <c r="U36" s="224">
        <f>SUM('M Father '!N89:N98)</f>
        <v>0.35907387409200969</v>
      </c>
      <c r="V36" s="222">
        <f t="shared" si="54"/>
        <v>0.27991820115662369</v>
      </c>
      <c r="W36" s="225">
        <f>SUM('M Father '!Q89:Q98)</f>
        <v>0.3931024455205811</v>
      </c>
      <c r="X36" s="222">
        <f t="shared" si="55"/>
        <v>0.22111521671366885</v>
      </c>
      <c r="Y36" s="85">
        <f t="shared" si="44"/>
        <v>0.3554131135165931</v>
      </c>
      <c r="Z36" s="334">
        <f t="shared" si="56"/>
        <v>0.27615178454439998</v>
      </c>
      <c r="AA36" s="85">
        <f t="shared" si="45"/>
        <v>0.39103597065945017</v>
      </c>
      <c r="AB36" s="324">
        <f t="shared" si="57"/>
        <v>0.20408337789824249</v>
      </c>
    </row>
    <row r="37" spans="1:28" s="85" customFormat="1" ht="17" x14ac:dyDescent="0.2">
      <c r="A37" s="223" t="s">
        <v>205</v>
      </c>
      <c r="B37" s="224">
        <f>SUM('M Boy'!H102:H106)</f>
        <v>0.36146</v>
      </c>
      <c r="C37" s="222">
        <f t="shared" si="46"/>
        <v>0.33940425176806122</v>
      </c>
      <c r="D37" s="225">
        <f>SUM('M Boy'!K102:K106)</f>
        <v>0.43296000000000001</v>
      </c>
      <c r="E37" s="222">
        <f t="shared" si="47"/>
        <v>0.25668726474325526</v>
      </c>
      <c r="F37" s="224">
        <f>SUM('M Boy'!N102:N106)</f>
        <v>0.36146</v>
      </c>
      <c r="G37" s="222">
        <f t="shared" si="48"/>
        <v>0.34162039677376277</v>
      </c>
      <c r="H37" s="225">
        <f>SUM('M Boy'!Q102:Q106)</f>
        <v>0.39776</v>
      </c>
      <c r="I37" s="222">
        <f t="shared" si="49"/>
        <v>0.27217037988510545</v>
      </c>
      <c r="J37" s="233">
        <f t="shared" si="42"/>
        <v>0.36146</v>
      </c>
      <c r="K37" s="222">
        <f t="shared" si="50"/>
        <v>0.34050871845525116</v>
      </c>
      <c r="L37" s="85">
        <f t="shared" si="43"/>
        <v>0.41536000000000001</v>
      </c>
      <c r="M37" s="222">
        <f t="shared" si="51"/>
        <v>0.26387483153666152</v>
      </c>
      <c r="P37" s="223" t="s">
        <v>205</v>
      </c>
      <c r="Q37" s="224">
        <f>SUM('M Father '!H102:H106)</f>
        <v>0.44360999999999995</v>
      </c>
      <c r="R37" s="222">
        <f t="shared" si="52"/>
        <v>0.34354807654418762</v>
      </c>
      <c r="S37" s="225">
        <f>SUM('M Father '!K102:K106)</f>
        <v>0.53136000000000005</v>
      </c>
      <c r="T37" s="222">
        <f t="shared" si="53"/>
        <v>0.25865713598011725</v>
      </c>
      <c r="U37" s="224">
        <f>SUM('M Father '!N102:N106)</f>
        <v>0.44360999999999995</v>
      </c>
      <c r="V37" s="222">
        <f t="shared" si="54"/>
        <v>0.34581884724721335</v>
      </c>
      <c r="W37" s="225">
        <f>SUM('M Father '!Q102:Q106)</f>
        <v>0.48816000000000004</v>
      </c>
      <c r="X37" s="222">
        <f t="shared" si="55"/>
        <v>0.27458390407111666</v>
      </c>
      <c r="Y37" s="85">
        <f t="shared" si="44"/>
        <v>0.44360999999999995</v>
      </c>
      <c r="Z37" s="334">
        <f t="shared" si="56"/>
        <v>0.34467972194284824</v>
      </c>
      <c r="AA37" s="85">
        <f t="shared" si="45"/>
        <v>0.50975999999999999</v>
      </c>
      <c r="AB37" s="324">
        <f t="shared" si="57"/>
        <v>0.26604596641573414</v>
      </c>
    </row>
    <row r="38" spans="1:28" ht="17" x14ac:dyDescent="0.2">
      <c r="A38" s="203" t="s">
        <v>413</v>
      </c>
      <c r="B38" s="207">
        <f>SUM('M Boy'!H109:H117)</f>
        <v>0.31474432000000002</v>
      </c>
      <c r="C38" s="217">
        <f t="shared" si="30"/>
        <v>7.8802344754527978E-2</v>
      </c>
      <c r="D38">
        <f>SUM('M Boy'!K109:K117)</f>
        <v>0.49487210666666676</v>
      </c>
      <c r="E38" s="217">
        <f t="shared" si="31"/>
        <v>7.745979170764479E-2</v>
      </c>
      <c r="F38" s="207">
        <f>SUM('M Boy'!N109:N117)</f>
        <v>0.24053098666666667</v>
      </c>
      <c r="G38" s="217">
        <f t="shared" si="32"/>
        <v>6.1903714547010727E-2</v>
      </c>
      <c r="H38">
        <f>SUM('M Boy'!Q109:Q117)</f>
        <v>0.32755477333333338</v>
      </c>
      <c r="I38" s="217">
        <f t="shared" si="33"/>
        <v>5.7162545116973482E-2</v>
      </c>
      <c r="J38" s="207">
        <f t="shared" si="42"/>
        <v>0.27763765333333335</v>
      </c>
      <c r="K38" s="217">
        <f t="shared" si="34"/>
        <v>7.0469407961296374E-2</v>
      </c>
      <c r="L38">
        <f t="shared" si="43"/>
        <v>0.41121344000000004</v>
      </c>
      <c r="M38" s="217">
        <f t="shared" si="35"/>
        <v>6.7862628426488866E-2</v>
      </c>
      <c r="P38" s="203" t="s">
        <v>413</v>
      </c>
      <c r="Q38" s="207">
        <f>SUM('M Father '!H109:H117)</f>
        <v>0.38627711999999997</v>
      </c>
      <c r="R38" s="217">
        <f t="shared" si="36"/>
        <v>7.6880386243818849E-2</v>
      </c>
      <c r="S38">
        <f>SUM('M Father '!K109:K118)</f>
        <v>0.60734303999999995</v>
      </c>
      <c r="T38" s="217">
        <f t="shared" si="37"/>
        <v>7.7299031601452031E-2</v>
      </c>
      <c r="U38" s="207">
        <f>SUM('M Father '!N109:N117)</f>
        <v>0.29519712000000004</v>
      </c>
      <c r="V38" s="217">
        <f t="shared" si="38"/>
        <v>6.0089098024428633E-2</v>
      </c>
      <c r="W38">
        <f>SUM('M Father '!Q109:Q117)</f>
        <v>0.40199903999999997</v>
      </c>
      <c r="X38" s="217">
        <f t="shared" si="39"/>
        <v>5.7905987892522097E-2</v>
      </c>
      <c r="Y38">
        <f t="shared" si="44"/>
        <v>0.34073712</v>
      </c>
      <c r="Z38" s="331">
        <f t="shared" si="40"/>
        <v>6.8579144410962842E-2</v>
      </c>
      <c r="AA38">
        <f t="shared" si="45"/>
        <v>0.50467103999999996</v>
      </c>
      <c r="AB38" s="217">
        <f t="shared" si="41"/>
        <v>6.8201879047465219E-2</v>
      </c>
    </row>
    <row r="39" spans="1:28" ht="34" x14ac:dyDescent="0.2">
      <c r="A39" s="203" t="s">
        <v>414</v>
      </c>
      <c r="B39" s="207">
        <f>SUM('M Boy'!H120:H122)</f>
        <v>0.10048133333333334</v>
      </c>
      <c r="C39" s="217">
        <f t="shared" si="30"/>
        <v>2.5157450564089537E-2</v>
      </c>
      <c r="D39">
        <f>SUM('M Boy'!K120:K122)</f>
        <v>0.27634639999999999</v>
      </c>
      <c r="E39" s="217">
        <f t="shared" si="31"/>
        <v>4.3255084080897385E-2</v>
      </c>
      <c r="F39" s="207">
        <f>SUM('M Boy'!N120:N122)</f>
        <v>0.10320933333333335</v>
      </c>
      <c r="G39" s="217">
        <f t="shared" si="32"/>
        <v>2.6562237147881598E-2</v>
      </c>
      <c r="H39">
        <f>SUM('M Boy'!Q120:Q122)</f>
        <v>0.22678773333333335</v>
      </c>
      <c r="I39" s="217">
        <f t="shared" si="33"/>
        <v>3.9577393138613651E-2</v>
      </c>
      <c r="J39" s="207">
        <f t="shared" si="42"/>
        <v>0.10184533333333334</v>
      </c>
      <c r="K39" s="217">
        <f t="shared" si="34"/>
        <v>2.5850169303239863E-2</v>
      </c>
      <c r="L39">
        <f t="shared" si="43"/>
        <v>0.25156706666666667</v>
      </c>
      <c r="M39" s="217">
        <f t="shared" si="35"/>
        <v>4.151615854175815E-2</v>
      </c>
      <c r="P39" s="203" t="s">
        <v>414</v>
      </c>
      <c r="Q39" s="207">
        <f>SUM('M Father '!H120:H122)</f>
        <v>0.12331800000000002</v>
      </c>
      <c r="R39" s="217">
        <f t="shared" si="36"/>
        <v>2.4543870138659146E-2</v>
      </c>
      <c r="S39">
        <f>SUM('M Father '!K120:K122)</f>
        <v>0.33915240000000008</v>
      </c>
      <c r="T39" s="217">
        <f t="shared" si="37"/>
        <v>4.3165312448971684E-2</v>
      </c>
      <c r="U39" s="207">
        <f>SUM('M Father '!N120:N122)</f>
        <v>0.12666600000000003</v>
      </c>
      <c r="V39" s="217">
        <f t="shared" si="38"/>
        <v>2.5783604156985943E-2</v>
      </c>
      <c r="W39">
        <f>SUM('M Father '!Q120:Q122)</f>
        <v>0.27833040000000003</v>
      </c>
      <c r="X39" s="217">
        <f t="shared" si="39"/>
        <v>4.0092127514833951E-2</v>
      </c>
      <c r="Y39">
        <f t="shared" si="44"/>
        <v>0.12499200000000002</v>
      </c>
      <c r="Z39" s="331">
        <f t="shared" si="40"/>
        <v>2.5156767241018736E-2</v>
      </c>
      <c r="AA39">
        <f t="shared" si="45"/>
        <v>0.30874140000000005</v>
      </c>
      <c r="AB39" s="217">
        <f t="shared" si="41"/>
        <v>4.1723701086048219E-2</v>
      </c>
    </row>
    <row r="40" spans="1:28" ht="17" x14ac:dyDescent="0.2">
      <c r="A40" s="212" t="s">
        <v>618</v>
      </c>
      <c r="B40" s="209">
        <f>SUM('M Boy'!H125:H128)</f>
        <v>0.26856960000000002</v>
      </c>
      <c r="C40" s="218">
        <f t="shared" si="30"/>
        <v>6.7241608076630835E-2</v>
      </c>
      <c r="D40" s="210">
        <f>SUM('M Boy'!K125:K128)</f>
        <v>0.61117142857142859</v>
      </c>
      <c r="E40" s="218">
        <f t="shared" si="31"/>
        <v>9.5663527842951138E-2</v>
      </c>
      <c r="F40" s="209">
        <f>SUM('M Boy'!N125:N128)</f>
        <v>0.26881500000000003</v>
      </c>
      <c r="G40" s="218">
        <f t="shared" si="32"/>
        <v>6.9182965806462507E-2</v>
      </c>
      <c r="H40" s="210">
        <f>SUM('M Boy'!Q125:Q128)</f>
        <v>0.63774285714285717</v>
      </c>
      <c r="I40" s="218">
        <f t="shared" si="33"/>
        <v>0.11129437826069478</v>
      </c>
      <c r="J40" s="209">
        <f t="shared" si="42"/>
        <v>0.2686923</v>
      </c>
      <c r="K40" s="218">
        <f t="shared" si="34"/>
        <v>6.8198917104468029E-2</v>
      </c>
      <c r="L40" s="210">
        <f t="shared" si="43"/>
        <v>0.62445714285714282</v>
      </c>
      <c r="M40" s="218">
        <f t="shared" si="35"/>
        <v>0.10305427530282366</v>
      </c>
      <c r="P40" s="216" t="s">
        <v>619</v>
      </c>
      <c r="Q40" s="209">
        <f>SUM('M Father '!H125:H129)</f>
        <v>0.46791622857142851</v>
      </c>
      <c r="R40" s="218">
        <f t="shared" si="36"/>
        <v>9.3128944272760583E-2</v>
      </c>
      <c r="S40" s="210">
        <f>SUM('M Father '!K125:K129)</f>
        <v>0.78214571428571422</v>
      </c>
      <c r="T40" s="218">
        <f t="shared" si="37"/>
        <v>9.9546882574815879E-2</v>
      </c>
      <c r="U40" s="209">
        <f>SUM('M Father '!N125:N129)</f>
        <v>0.48968178571428567</v>
      </c>
      <c r="V40" s="218">
        <f t="shared" si="38"/>
        <v>9.9677587716854976E-2</v>
      </c>
      <c r="W40" s="210">
        <f>SUM('M Father '!Q125:Q129)</f>
        <v>0.70816000000000001</v>
      </c>
      <c r="X40" s="218">
        <f t="shared" si="39"/>
        <v>0.10200697092701627</v>
      </c>
      <c r="Y40" s="210">
        <f t="shared" si="44"/>
        <v>0.47879900714285706</v>
      </c>
      <c r="Z40" s="326">
        <f t="shared" si="40"/>
        <v>9.6366448876117825E-2</v>
      </c>
      <c r="AA40" s="210">
        <f t="shared" si="45"/>
        <v>0.74515285714285717</v>
      </c>
      <c r="AB40" s="218">
        <f t="shared" si="41"/>
        <v>0.1007008942592194</v>
      </c>
    </row>
    <row r="41" spans="1:28" x14ac:dyDescent="0.2">
      <c r="C41" s="83"/>
      <c r="E41" s="83"/>
      <c r="G41" s="83"/>
      <c r="I41" s="83"/>
      <c r="R41" s="83"/>
      <c r="T41" s="83"/>
      <c r="V41" s="83"/>
      <c r="X41" s="83"/>
    </row>
    <row r="42" spans="1:28" ht="18" thickBot="1" x14ac:dyDescent="0.25">
      <c r="A42" s="213" t="s">
        <v>527</v>
      </c>
      <c r="B42" s="214">
        <f t="shared" ref="B42:M42" si="58">SUM(B28:B33,B38:B40)</f>
        <v>3.9940984114170641</v>
      </c>
      <c r="C42" s="214">
        <f t="shared" si="58"/>
        <v>1.0000000000000002</v>
      </c>
      <c r="D42" s="214">
        <f t="shared" si="58"/>
        <v>6.3887611334465548</v>
      </c>
      <c r="E42" s="214">
        <f t="shared" si="58"/>
        <v>0.99999999999999989</v>
      </c>
      <c r="F42" s="214">
        <f t="shared" si="58"/>
        <v>3.8855662931826713</v>
      </c>
      <c r="G42" s="214">
        <f t="shared" si="58"/>
        <v>1</v>
      </c>
      <c r="H42" s="214">
        <f t="shared" si="58"/>
        <v>5.7302342410235223</v>
      </c>
      <c r="I42" s="214">
        <f t="shared" si="58"/>
        <v>1</v>
      </c>
      <c r="J42" s="227">
        <f t="shared" si="58"/>
        <v>3.9398323522998679</v>
      </c>
      <c r="K42" s="214">
        <f t="shared" si="58"/>
        <v>1</v>
      </c>
      <c r="L42" s="227">
        <f t="shared" si="58"/>
        <v>6.0594976872350381</v>
      </c>
      <c r="M42" s="214">
        <f t="shared" si="58"/>
        <v>0.99999999999999978</v>
      </c>
      <c r="P42" s="213" t="s">
        <v>527</v>
      </c>
      <c r="Q42" s="214">
        <f t="shared" ref="Q42:AB42" si="59">SUM(Q28:Q33,Q38:Q40)</f>
        <v>5.0243909906352284</v>
      </c>
      <c r="R42" s="214">
        <f t="shared" si="59"/>
        <v>1</v>
      </c>
      <c r="S42" s="214">
        <f t="shared" si="59"/>
        <v>7.8570588455934969</v>
      </c>
      <c r="T42" s="214">
        <f t="shared" si="59"/>
        <v>1</v>
      </c>
      <c r="U42" s="214">
        <f t="shared" si="59"/>
        <v>4.9126568663086028</v>
      </c>
      <c r="V42" s="214">
        <f t="shared" si="59"/>
        <v>0.99999999999999989</v>
      </c>
      <c r="W42" s="214">
        <f t="shared" si="59"/>
        <v>6.9422706464509449</v>
      </c>
      <c r="X42" s="214">
        <f t="shared" si="59"/>
        <v>1</v>
      </c>
      <c r="Y42" s="227">
        <f t="shared" si="59"/>
        <v>4.9685239284719165</v>
      </c>
      <c r="Z42" s="214">
        <f t="shared" si="59"/>
        <v>0.99999999999999978</v>
      </c>
      <c r="AA42" s="227">
        <f t="shared" si="59"/>
        <v>7.3996647460222205</v>
      </c>
      <c r="AB42" s="214">
        <f t="shared" si="59"/>
        <v>1</v>
      </c>
    </row>
    <row r="43" spans="1:28" ht="17" thickTop="1" x14ac:dyDescent="0.2"/>
    <row r="44" spans="1:28" x14ac:dyDescent="0.2">
      <c r="A44" s="463" t="s">
        <v>473</v>
      </c>
      <c r="B44" s="458" t="s">
        <v>427</v>
      </c>
      <c r="C44" s="459"/>
      <c r="D44" s="459"/>
      <c r="E44" s="201"/>
      <c r="F44" s="458" t="s">
        <v>519</v>
      </c>
      <c r="G44" s="459"/>
      <c r="H44" s="459"/>
      <c r="I44" s="460"/>
      <c r="J44" s="458" t="s">
        <v>490</v>
      </c>
      <c r="K44" s="459"/>
      <c r="L44" s="459"/>
      <c r="M44" s="460"/>
      <c r="P44" s="463" t="s">
        <v>473</v>
      </c>
      <c r="Q44" s="458" t="s">
        <v>427</v>
      </c>
      <c r="R44" s="459"/>
      <c r="S44" s="459"/>
      <c r="T44" s="201"/>
      <c r="U44" s="458" t="s">
        <v>519</v>
      </c>
      <c r="V44" s="459"/>
      <c r="W44" s="459"/>
      <c r="X44" s="460"/>
      <c r="Y44" s="458" t="s">
        <v>490</v>
      </c>
      <c r="Z44" s="459"/>
      <c r="AA44" s="459"/>
      <c r="AB44" s="460"/>
    </row>
    <row r="45" spans="1:28" x14ac:dyDescent="0.2">
      <c r="A45" s="464"/>
      <c r="B45" s="453" t="s">
        <v>483</v>
      </c>
      <c r="C45" s="454"/>
      <c r="D45" s="454" t="s">
        <v>485</v>
      </c>
      <c r="E45" s="461"/>
      <c r="F45" s="453" t="s">
        <v>520</v>
      </c>
      <c r="G45" s="454"/>
      <c r="H45" s="454" t="s">
        <v>485</v>
      </c>
      <c r="I45" s="461"/>
      <c r="J45" s="453" t="s">
        <v>483</v>
      </c>
      <c r="K45" s="454"/>
      <c r="L45" s="454" t="s">
        <v>485</v>
      </c>
      <c r="M45" s="461"/>
      <c r="P45" s="464"/>
      <c r="Q45" s="453" t="s">
        <v>483</v>
      </c>
      <c r="R45" s="454"/>
      <c r="S45" s="454" t="s">
        <v>485</v>
      </c>
      <c r="T45" s="461"/>
      <c r="U45" s="453" t="s">
        <v>520</v>
      </c>
      <c r="V45" s="454"/>
      <c r="W45" s="454" t="s">
        <v>485</v>
      </c>
      <c r="X45" s="461"/>
      <c r="Y45" s="453" t="s">
        <v>483</v>
      </c>
      <c r="Z45" s="454"/>
      <c r="AA45" s="454" t="s">
        <v>485</v>
      </c>
      <c r="AB45" s="461"/>
    </row>
    <row r="46" spans="1:28" x14ac:dyDescent="0.2">
      <c r="A46" s="465"/>
      <c r="B46" s="455" t="s">
        <v>521</v>
      </c>
      <c r="C46" s="456"/>
      <c r="D46" s="456" t="s">
        <v>522</v>
      </c>
      <c r="E46" s="456"/>
      <c r="F46" s="455" t="s">
        <v>521</v>
      </c>
      <c r="G46" s="456"/>
      <c r="H46" s="456" t="s">
        <v>522</v>
      </c>
      <c r="I46" s="456"/>
      <c r="J46" s="455" t="s">
        <v>521</v>
      </c>
      <c r="K46" s="456"/>
      <c r="L46" s="456" t="s">
        <v>522</v>
      </c>
      <c r="M46" s="457"/>
      <c r="P46" s="465"/>
      <c r="Q46" s="455" t="s">
        <v>521</v>
      </c>
      <c r="R46" s="456"/>
      <c r="S46" s="456" t="s">
        <v>522</v>
      </c>
      <c r="T46" s="456"/>
      <c r="U46" s="455" t="s">
        <v>521</v>
      </c>
      <c r="V46" s="456"/>
      <c r="W46" s="456" t="s">
        <v>522</v>
      </c>
      <c r="X46" s="456"/>
      <c r="Y46" s="455" t="s">
        <v>521</v>
      </c>
      <c r="Z46" s="456"/>
      <c r="AA46" s="456" t="s">
        <v>522</v>
      </c>
      <c r="AB46" s="457"/>
    </row>
    <row r="47" spans="1:28" x14ac:dyDescent="0.2">
      <c r="A47" s="204"/>
      <c r="B47" s="199" t="s">
        <v>523</v>
      </c>
      <c r="C47" s="200" t="s">
        <v>386</v>
      </c>
      <c r="D47" s="199" t="s">
        <v>523</v>
      </c>
      <c r="E47" s="200" t="s">
        <v>386</v>
      </c>
      <c r="F47" s="199" t="s">
        <v>523</v>
      </c>
      <c r="G47" s="200" t="s">
        <v>386</v>
      </c>
      <c r="H47" s="199" t="s">
        <v>523</v>
      </c>
      <c r="I47" s="200" t="s">
        <v>386</v>
      </c>
      <c r="J47" s="199" t="s">
        <v>523</v>
      </c>
      <c r="K47" s="200" t="s">
        <v>386</v>
      </c>
      <c r="L47" s="199" t="s">
        <v>523</v>
      </c>
      <c r="M47" s="200" t="s">
        <v>386</v>
      </c>
      <c r="P47" s="204"/>
      <c r="Q47" s="199" t="s">
        <v>523</v>
      </c>
      <c r="R47" s="200" t="s">
        <v>386</v>
      </c>
      <c r="S47" s="199" t="s">
        <v>523</v>
      </c>
      <c r="T47" s="200" t="s">
        <v>386</v>
      </c>
      <c r="U47" s="199" t="s">
        <v>523</v>
      </c>
      <c r="V47" s="200" t="s">
        <v>386</v>
      </c>
      <c r="W47" s="199" t="s">
        <v>523</v>
      </c>
      <c r="X47" s="200" t="s">
        <v>386</v>
      </c>
      <c r="Y47" s="199" t="s">
        <v>523</v>
      </c>
      <c r="Z47" s="200" t="s">
        <v>386</v>
      </c>
      <c r="AA47" s="199" t="s">
        <v>523</v>
      </c>
      <c r="AB47" s="219" t="s">
        <v>386</v>
      </c>
    </row>
    <row r="48" spans="1:28" ht="17" x14ac:dyDescent="0.2">
      <c r="A48" s="215" t="s">
        <v>390</v>
      </c>
      <c r="B48" s="207">
        <f>SUM('L Boy'!H12:H16)</f>
        <v>0.49047680000000005</v>
      </c>
      <c r="C48" s="217">
        <f>B48/$B$62</f>
        <v>0.12984671977596918</v>
      </c>
      <c r="D48">
        <f>SUM('L Boy'!K12:K16)</f>
        <v>0.68830080000000005</v>
      </c>
      <c r="E48" s="217">
        <f>D48/$D$62</f>
        <v>0.11830171347664414</v>
      </c>
      <c r="F48">
        <f>SUM('L Boy'!N12:N16)</f>
        <v>0.5725808</v>
      </c>
      <c r="G48" s="217">
        <f>F48/$F$62</f>
        <v>0.15564129761031115</v>
      </c>
      <c r="H48">
        <f>SUM('L Boy'!Q12:Q16)</f>
        <v>0.72948480000000004</v>
      </c>
      <c r="I48" s="217">
        <f>H48/$H$62</f>
        <v>0.13786390495859244</v>
      </c>
      <c r="J48" s="207">
        <f>(B48+F48)/2</f>
        <v>0.53152880000000002</v>
      </c>
      <c r="K48" s="217">
        <f>J48/$J$62</f>
        <v>0.1425736233168787</v>
      </c>
      <c r="L48">
        <f>(D48+H48)/2</f>
        <v>0.7088928000000001</v>
      </c>
      <c r="M48" s="217">
        <f>L48/$L$62</f>
        <v>0.12761896533745734</v>
      </c>
      <c r="P48" s="203" t="s">
        <v>390</v>
      </c>
      <c r="Q48" s="204">
        <f>SUM('L Father '!H12:H16)</f>
        <v>0.60194880000000006</v>
      </c>
      <c r="R48" s="206">
        <f>Q48/$Q$62</f>
        <v>0.12608503385655673</v>
      </c>
      <c r="S48" s="205">
        <f>SUM('L Father '!K12:K16)</f>
        <v>0.84473280000000006</v>
      </c>
      <c r="T48" s="206">
        <f>S48/$S$62</f>
        <v>0.11777273468599736</v>
      </c>
      <c r="U48" s="205">
        <f>SUM('L Father '!N12:N16)</f>
        <v>0.70271280000000003</v>
      </c>
      <c r="V48" s="206">
        <f>U48/$U$62</f>
        <v>0.15032179680018448</v>
      </c>
      <c r="W48" s="205">
        <f>SUM('L Father '!Q12:Q16)</f>
        <v>0.89527679999999998</v>
      </c>
      <c r="X48" s="325">
        <f>W48/$W$62</f>
        <v>0.13946440318368708</v>
      </c>
      <c r="Y48" s="204">
        <f>(Q48+U48)/2</f>
        <v>0.6523308000000001</v>
      </c>
      <c r="Z48" s="325">
        <f>Y48/$Y$62</f>
        <v>0.13807589906200063</v>
      </c>
      <c r="AA48" s="205">
        <f>(S48+W48)/2</f>
        <v>0.87000480000000002</v>
      </c>
      <c r="AB48" s="325">
        <f>AA48/$AA$62</f>
        <v>0.12801756666291703</v>
      </c>
    </row>
    <row r="49" spans="1:28" ht="34" x14ac:dyDescent="0.2">
      <c r="A49" s="9" t="s">
        <v>39</v>
      </c>
      <c r="B49" s="207">
        <f>SUM('L Boy'!H19)</f>
        <v>4.0480000000000002E-2</v>
      </c>
      <c r="C49" s="217">
        <f>B49/$B$62</f>
        <v>1.071650120154762E-2</v>
      </c>
      <c r="D49">
        <f>SUM('L Boy'!K19)</f>
        <v>6.7320000000000005E-2</v>
      </c>
      <c r="E49" s="217">
        <f t="shared" ref="E49:E60" si="60">D49/$D$62</f>
        <v>1.1570626318097674E-2</v>
      </c>
      <c r="F49">
        <f>SUM('L Boy'!N19)</f>
        <v>4.224E-2</v>
      </c>
      <c r="G49" s="217">
        <f t="shared" ref="G49:G60" si="61">F49/$F$62</f>
        <v>1.1481852711546638E-2</v>
      </c>
      <c r="H49">
        <f>SUM('L Boy'!Q19)</f>
        <v>6.4239999999999992E-2</v>
      </c>
      <c r="I49" s="217">
        <f t="shared" ref="I49:I60" si="62">H49/$H$62</f>
        <v>1.2140591900667397E-2</v>
      </c>
      <c r="J49" s="207">
        <f>(B49+F49)/2</f>
        <v>4.1360000000000001E-2</v>
      </c>
      <c r="K49" s="217">
        <f t="shared" ref="K49:K60" si="63">J49/$J$62</f>
        <v>1.1094121448143738E-2</v>
      </c>
      <c r="L49">
        <f t="shared" ref="L49:L60" si="64">(D49+H49)/2</f>
        <v>6.5780000000000005E-2</v>
      </c>
      <c r="M49" s="217">
        <f t="shared" ref="M49:M60" si="65">L49/$L$62</f>
        <v>1.1842094516826725E-2</v>
      </c>
      <c r="P49" s="203" t="s">
        <v>39</v>
      </c>
      <c r="Q49" s="207">
        <f>SUM('L Father '!H19)</f>
        <v>4.9680000000000002E-2</v>
      </c>
      <c r="R49" s="208">
        <f t="shared" ref="R49:R53" si="66">Q49/$Q$62</f>
        <v>1.0406041978975185E-2</v>
      </c>
      <c r="S49">
        <f>SUM('L Father '!K19)</f>
        <v>8.2619999999999999E-2</v>
      </c>
      <c r="T49" s="208">
        <f t="shared" ref="T49:T53" si="67">S49/$S$62</f>
        <v>1.1518888978570622E-2</v>
      </c>
      <c r="U49">
        <f>SUM('L Father '!N19)</f>
        <v>5.1839999999999997E-2</v>
      </c>
      <c r="V49" s="208">
        <f t="shared" ref="V49:V53" si="68">U49/$U$62</f>
        <v>1.1089426499875288E-2</v>
      </c>
      <c r="W49">
        <f>SUM('L Father '!Q19)</f>
        <v>7.8839999999999993E-2</v>
      </c>
      <c r="X49" s="217">
        <f t="shared" ref="X49:X53" si="69">W49/$W$62</f>
        <v>1.2281535215702999E-2</v>
      </c>
      <c r="Y49" s="207">
        <f>(Q49+U49)/2</f>
        <v>5.076E-2</v>
      </c>
      <c r="Z49" s="217">
        <f t="shared" ref="Z49:Z53" si="70">Y49/$Y$62</f>
        <v>1.0744138765772137E-2</v>
      </c>
      <c r="AA49">
        <f t="shared" ref="AA49:AA60" si="71">(S49+W49)/2</f>
        <v>8.0729999999999996E-2</v>
      </c>
      <c r="AB49" s="217">
        <f t="shared" ref="AB49:AB53" si="72">AA49/$AA$62</f>
        <v>1.1879081766787139E-2</v>
      </c>
    </row>
    <row r="50" spans="1:28" ht="17" x14ac:dyDescent="0.2">
      <c r="A50" s="215" t="s">
        <v>524</v>
      </c>
      <c r="B50" s="207">
        <f>SUM('L Boy'!H24:H46)</f>
        <v>0.66837648344987388</v>
      </c>
      <c r="C50" s="217">
        <f>B50/$B$62</f>
        <v>0.17694311729191567</v>
      </c>
      <c r="D50">
        <f>SUM('L Boy'!K24:K46)</f>
        <v>1.0788938077314454</v>
      </c>
      <c r="E50" s="217">
        <f t="shared" si="60"/>
        <v>0.18543489432813537</v>
      </c>
      <c r="F50">
        <f>SUM('L Boy'!N24:N46)</f>
        <v>0.59357374441327326</v>
      </c>
      <c r="G50" s="217">
        <f t="shared" si="61"/>
        <v>0.16134768718736819</v>
      </c>
      <c r="H50">
        <f>SUM('L Boy'!Q24:Q46)</f>
        <v>0.86959472654602177</v>
      </c>
      <c r="I50" s="217">
        <f t="shared" si="62"/>
        <v>0.16434300582141523</v>
      </c>
      <c r="J50" s="207">
        <f t="shared" ref="J50:J60" si="73">(B50+F50)/2</f>
        <v>0.63097511393157357</v>
      </c>
      <c r="K50" s="217">
        <f t="shared" si="63"/>
        <v>0.1692484174253677</v>
      </c>
      <c r="L50">
        <f t="shared" si="64"/>
        <v>0.97424426713873358</v>
      </c>
      <c r="M50" s="217">
        <f t="shared" si="65"/>
        <v>0.17538906497314483</v>
      </c>
      <c r="P50" s="203" t="s">
        <v>524</v>
      </c>
      <c r="Q50" s="207">
        <f>SUM('L Father '!H24:H46)</f>
        <v>0.8202802296884818</v>
      </c>
      <c r="R50" s="208">
        <f t="shared" si="66"/>
        <v>0.17181703914375498</v>
      </c>
      <c r="S50">
        <f>SUM('L Father '!K24:K46)</f>
        <v>1.3240969458522283</v>
      </c>
      <c r="T50" s="208">
        <f t="shared" si="67"/>
        <v>0.18460573367388347</v>
      </c>
      <c r="U50">
        <f>SUM('L Father '!N24:N46)</f>
        <v>0.72847686814356261</v>
      </c>
      <c r="V50" s="208">
        <f t="shared" si="68"/>
        <v>0.15583315366777353</v>
      </c>
      <c r="W50">
        <f>SUM('L Father '!Q24:Q46)</f>
        <v>1.0672298916701175</v>
      </c>
      <c r="X50" s="217">
        <f t="shared" si="69"/>
        <v>0.16625090687211372</v>
      </c>
      <c r="Y50" s="207">
        <f t="shared" ref="Y50:Y60" si="74">(Q50+U50)/2</f>
        <v>0.7743785489160222</v>
      </c>
      <c r="Z50" s="217">
        <f t="shared" si="70"/>
        <v>0.16390919201715934</v>
      </c>
      <c r="AA50">
        <f t="shared" si="71"/>
        <v>1.195663418761173</v>
      </c>
      <c r="AB50" s="217">
        <f t="shared" si="72"/>
        <v>0.17593687002378577</v>
      </c>
    </row>
    <row r="51" spans="1:28" ht="17" x14ac:dyDescent="0.2">
      <c r="A51" s="215" t="s">
        <v>399</v>
      </c>
      <c r="B51" s="207">
        <f>SUM('L Boy'!H49:H58)</f>
        <v>0.41177016238793296</v>
      </c>
      <c r="C51" s="217">
        <f t="shared" ref="C51:C60" si="75">B51/$B$62</f>
        <v>0.10901026284564581</v>
      </c>
      <c r="D51">
        <f>SUM('L Boy'!K49:K58)</f>
        <v>0.61965481083182083</v>
      </c>
      <c r="E51" s="217">
        <f t="shared" si="60"/>
        <v>0.10650318274430334</v>
      </c>
      <c r="F51">
        <f>SUM('L Boy'!N49:N58)</f>
        <v>0.35208543262279474</v>
      </c>
      <c r="G51" s="217">
        <f t="shared" si="61"/>
        <v>9.5705328580873744E-2</v>
      </c>
      <c r="H51">
        <f>SUM('L Boy'!Q49:Q58)</f>
        <v>0.5641038490268675</v>
      </c>
      <c r="I51" s="217">
        <f t="shared" si="62"/>
        <v>0.10660888263746721</v>
      </c>
      <c r="J51" s="207">
        <f t="shared" si="73"/>
        <v>0.38192779750536388</v>
      </c>
      <c r="K51" s="217">
        <f t="shared" si="63"/>
        <v>0.10244568109155115</v>
      </c>
      <c r="L51">
        <f t="shared" si="64"/>
        <v>0.59187932992934411</v>
      </c>
      <c r="M51" s="217">
        <f t="shared" si="65"/>
        <v>0.10655352641501005</v>
      </c>
      <c r="P51" s="203" t="s">
        <v>399</v>
      </c>
      <c r="Q51" s="207">
        <f>SUM('L Father '!H49:H58)</f>
        <v>0.50535429020337241</v>
      </c>
      <c r="R51" s="208">
        <f t="shared" si="66"/>
        <v>0.10585221332752619</v>
      </c>
      <c r="S51">
        <f>SUM('L Father '!K49:K58)</f>
        <v>0.76048544965723464</v>
      </c>
      <c r="T51" s="208">
        <f t="shared" si="67"/>
        <v>0.10602696035366792</v>
      </c>
      <c r="U51">
        <f>SUM('L Father '!N49:N58)</f>
        <v>0.43210484912797542</v>
      </c>
      <c r="V51" s="208">
        <f t="shared" si="68"/>
        <v>9.2434316447615433E-2</v>
      </c>
      <c r="W51">
        <f>SUM('L Father '!Q49:Q58)</f>
        <v>0.69230926926024638</v>
      </c>
      <c r="X51" s="217">
        <f t="shared" si="69"/>
        <v>0.10784653311234559</v>
      </c>
      <c r="Y51" s="207">
        <f t="shared" si="74"/>
        <v>0.46872956966567392</v>
      </c>
      <c r="Z51" s="217">
        <f t="shared" si="70"/>
        <v>9.9213860128224154E-2</v>
      </c>
      <c r="AA51">
        <f t="shared" si="71"/>
        <v>0.72639735945874051</v>
      </c>
      <c r="AB51" s="217">
        <f t="shared" si="72"/>
        <v>0.10688633256767803</v>
      </c>
    </row>
    <row r="52" spans="1:28" ht="17" x14ac:dyDescent="0.2">
      <c r="A52" s="9" t="s">
        <v>400</v>
      </c>
      <c r="B52" s="207">
        <f>SUM('L Boy'!H61:H69)</f>
        <v>0.634216</v>
      </c>
      <c r="C52" s="217">
        <f t="shared" si="75"/>
        <v>0.16789961773816023</v>
      </c>
      <c r="D52">
        <f>SUM('L Boy'!K61:K69)</f>
        <v>0.86548000000000003</v>
      </c>
      <c r="E52" s="217">
        <f t="shared" si="60"/>
        <v>0.14875439194573936</v>
      </c>
      <c r="F52">
        <f>SUM('L Boy'!N61:N69)</f>
        <v>0.65445600000000004</v>
      </c>
      <c r="G52" s="217">
        <f t="shared" si="61"/>
        <v>0.17789695544952572</v>
      </c>
      <c r="H52">
        <f>SUM('L Boy'!Q61:Q69)</f>
        <v>0.84928800000000004</v>
      </c>
      <c r="I52" s="217">
        <f t="shared" si="62"/>
        <v>0.16050527730594669</v>
      </c>
      <c r="J52" s="207">
        <f t="shared" si="73"/>
        <v>0.64433600000000002</v>
      </c>
      <c r="K52" s="217">
        <f t="shared" si="63"/>
        <v>0.17283224945384776</v>
      </c>
      <c r="L52">
        <f t="shared" si="64"/>
        <v>0.85738400000000003</v>
      </c>
      <c r="M52" s="217">
        <f t="shared" si="65"/>
        <v>0.15435120652500706</v>
      </c>
      <c r="P52" s="203" t="s">
        <v>400</v>
      </c>
      <c r="Q52" s="207">
        <f>SUM('L Father '!H61:H69)</f>
        <v>0.77835599999999994</v>
      </c>
      <c r="R52" s="208">
        <f t="shared" si="66"/>
        <v>0.16303553161407425</v>
      </c>
      <c r="S52">
        <f>SUM('L Father '!K61:K69)</f>
        <v>1.0621800000000001</v>
      </c>
      <c r="T52" s="208">
        <f t="shared" si="67"/>
        <v>0.14808924588789812</v>
      </c>
      <c r="U52">
        <f>SUM('L Father '!N61:N69)</f>
        <v>0.80319600000000013</v>
      </c>
      <c r="V52" s="208">
        <f t="shared" si="68"/>
        <v>0.17181680183244277</v>
      </c>
      <c r="W52">
        <f>SUM('L Father '!Q61:Q69)</f>
        <v>1.0423080000000002</v>
      </c>
      <c r="X52" s="217">
        <f t="shared" si="69"/>
        <v>0.16236862515993106</v>
      </c>
      <c r="Y52" s="207">
        <f t="shared" si="74"/>
        <v>0.79077600000000003</v>
      </c>
      <c r="Z52" s="217">
        <f t="shared" si="70"/>
        <v>0.16737996604890124</v>
      </c>
      <c r="AA52">
        <f t="shared" si="71"/>
        <v>1.0522440000000002</v>
      </c>
      <c r="AB52" s="217">
        <f t="shared" si="72"/>
        <v>0.15483330254689914</v>
      </c>
    </row>
    <row r="53" spans="1:28" ht="17" x14ac:dyDescent="0.2">
      <c r="A53" s="215" t="s">
        <v>156</v>
      </c>
      <c r="B53" s="207">
        <f>SUM('L Boy'!H72:H106)</f>
        <v>0.84823755775335785</v>
      </c>
      <c r="C53" s="217">
        <f t="shared" si="75"/>
        <v>0.22455876499164226</v>
      </c>
      <c r="D53">
        <f>SUM('L Boy'!K72:K106)</f>
        <v>1.1161418015873017</v>
      </c>
      <c r="E53" s="217">
        <f t="shared" si="60"/>
        <v>0.19183689400141093</v>
      </c>
      <c r="F53">
        <f>SUM('L Boy'!N72:N106)</f>
        <v>0.85135749689782914</v>
      </c>
      <c r="G53" s="217">
        <f t="shared" si="61"/>
        <v>0.23141954034687257</v>
      </c>
      <c r="H53">
        <f>SUM('L Boy'!Q72:Q106)</f>
        <v>1.0225432978746301</v>
      </c>
      <c r="I53" s="217">
        <f t="shared" si="62"/>
        <v>0.19324845704013802</v>
      </c>
      <c r="J53" s="207">
        <f t="shared" si="73"/>
        <v>0.84979752732559355</v>
      </c>
      <c r="K53" s="217">
        <f t="shared" si="63"/>
        <v>0.22794383400586027</v>
      </c>
      <c r="L53">
        <f t="shared" si="64"/>
        <v>1.0693425497309659</v>
      </c>
      <c r="M53" s="217">
        <f t="shared" si="65"/>
        <v>0.19250920560624168</v>
      </c>
      <c r="P53" s="203" t="s">
        <v>156</v>
      </c>
      <c r="Q53" s="207">
        <f>SUM('L Father '!H72:H106)</f>
        <v>1.0410188208791211</v>
      </c>
      <c r="R53" s="208">
        <f t="shared" si="66"/>
        <v>0.21805325183114699</v>
      </c>
      <c r="S53">
        <f>SUM('L Father '!K72:K106)</f>
        <v>1.369810392857143</v>
      </c>
      <c r="T53" s="208">
        <f t="shared" si="67"/>
        <v>0.19097910720181116</v>
      </c>
      <c r="U53">
        <f>SUM('L Father '!N72:N106)</f>
        <v>1.0448478371018812</v>
      </c>
      <c r="V53" s="208">
        <f t="shared" si="68"/>
        <v>0.22351009438840624</v>
      </c>
      <c r="W53">
        <f>SUM('L Father '!Q72:Q106)</f>
        <v>1.254939501937046</v>
      </c>
      <c r="X53" s="217">
        <f t="shared" si="69"/>
        <v>0.19549192905399052</v>
      </c>
      <c r="Y53" s="207">
        <f t="shared" si="74"/>
        <v>1.0429333289905012</v>
      </c>
      <c r="Z53" s="217">
        <f t="shared" si="70"/>
        <v>0.22075296316238432</v>
      </c>
      <c r="AA53">
        <f t="shared" si="71"/>
        <v>1.3123749473970945</v>
      </c>
      <c r="AB53" s="217">
        <f t="shared" si="72"/>
        <v>0.19311048320095447</v>
      </c>
    </row>
    <row r="54" spans="1:28" s="85" customFormat="1" ht="17" x14ac:dyDescent="0.2">
      <c r="A54" s="226" t="s">
        <v>525</v>
      </c>
      <c r="B54" s="224">
        <f>SUM('L Boy'!H72,'L Boy'!H75,'L Boy'!H78,'L Boy'!H84:H86)</f>
        <v>8.9633452991453005E-2</v>
      </c>
      <c r="C54" s="222">
        <f>B54/$B$53</f>
        <v>0.10567022430468204</v>
      </c>
      <c r="D54" s="225">
        <f>SUM('L Boy'!K72,'L Boy'!K75,'L Boy'!K78,'L Boy'!K84:K86)</f>
        <v>0.20820983333333334</v>
      </c>
      <c r="E54" s="222">
        <f>D54/$D$53</f>
        <v>0.18654424826418234</v>
      </c>
      <c r="F54" s="225">
        <f>SUM('L Boy'!N72,'L Boy'!N75,'L Boy'!N78,'L Boy'!N84:N86)</f>
        <v>8.6414852991453003E-2</v>
      </c>
      <c r="G54" s="222">
        <f>F54/$F$53</f>
        <v>0.10150242795339312</v>
      </c>
      <c r="H54" s="225">
        <f>SUM('L Boy'!Q72,'L Boy'!Q75,'L Boy'!Q78,'L Boy'!Q84:Q86)</f>
        <v>0.16438473333333334</v>
      </c>
      <c r="I54" s="222">
        <f>H54/$H$53</f>
        <v>0.16076065793498351</v>
      </c>
      <c r="J54" s="233">
        <f t="shared" si="73"/>
        <v>8.8024152991452997E-2</v>
      </c>
      <c r="K54" s="222">
        <f>J54/$J$53</f>
        <v>0.10358250072634914</v>
      </c>
      <c r="L54" s="85">
        <f t="shared" si="64"/>
        <v>0.18629728333333334</v>
      </c>
      <c r="M54" s="222">
        <f>L54/$L$53</f>
        <v>0.17421665618767679</v>
      </c>
      <c r="P54" s="226" t="s">
        <v>525</v>
      </c>
      <c r="Q54" s="224">
        <f>SUM('L Father '!H72,'L Father '!H75,'L Father '!H78,'L Father '!H84:H86)</f>
        <v>0.11000469230769232</v>
      </c>
      <c r="R54" s="222">
        <f>Q54/$Q$53</f>
        <v>0.10567022430468201</v>
      </c>
      <c r="S54" s="225">
        <f>SUM('L Father '!K72,'L Father '!K75,'L Father '!K78,'L Father '!K84:K86)</f>
        <v>0.25553025000000001</v>
      </c>
      <c r="T54" s="222">
        <f>S54/$S$53</f>
        <v>0.18654424826418234</v>
      </c>
      <c r="U54" s="225">
        <f>SUM('L Father '!N72,'L Father '!N75,'L Father '!N78,'L Father '!N84:N86)</f>
        <v>0.10605459230769232</v>
      </c>
      <c r="V54" s="222">
        <f>U54/$U$53</f>
        <v>0.10150242795339311</v>
      </c>
      <c r="W54" s="225">
        <f>SUM('L Father '!Q72,'L Father '!Q75,'L Father '!Q78,'L Father '!Q84:Q86)</f>
        <v>0.2017449</v>
      </c>
      <c r="X54" s="222">
        <f>W54/$W$53</f>
        <v>0.16076065793498351</v>
      </c>
      <c r="Y54" s="233">
        <f t="shared" si="74"/>
        <v>0.10802964230769233</v>
      </c>
      <c r="Z54" s="247">
        <f>Y54/$Y$53</f>
        <v>0.10358250072634916</v>
      </c>
      <c r="AA54" s="85">
        <f t="shared" si="71"/>
        <v>0.22863757500000001</v>
      </c>
      <c r="AB54" s="247">
        <f>AA54/$AA$53</f>
        <v>0.17421665618767679</v>
      </c>
    </row>
    <row r="55" spans="1:28" s="85" customFormat="1" ht="17" x14ac:dyDescent="0.2">
      <c r="A55" s="226" t="s">
        <v>170</v>
      </c>
      <c r="B55" s="224">
        <f>SUM('L Boy'!H81)</f>
        <v>4.5531200000000001E-2</v>
      </c>
      <c r="C55" s="222">
        <f>B55/$B$53</f>
        <v>5.367741570014177E-2</v>
      </c>
      <c r="D55" s="225">
        <f>SUM('L Boy'!K81)</f>
        <v>9.1138666666666673E-2</v>
      </c>
      <c r="E55" s="222">
        <f t="shared" ref="E55:E57" si="76">D55/$D$53</f>
        <v>8.1655096634724547E-2</v>
      </c>
      <c r="F55" s="225">
        <f>SUM('L Boy'!N81)</f>
        <v>4.5531200000000001E-2</v>
      </c>
      <c r="G55" s="222">
        <f t="shared" ref="G55:G57" si="77">F55/$F$53</f>
        <v>5.3480706008822723E-2</v>
      </c>
      <c r="H55" s="225">
        <f>SUM('L Boy'!Q81)</f>
        <v>7.2987200000000002E-2</v>
      </c>
      <c r="I55" s="222">
        <f t="shared" ref="I55:I57" si="78">H55/$H$53</f>
        <v>7.137810218081217E-2</v>
      </c>
      <c r="J55" s="233">
        <f t="shared" si="73"/>
        <v>4.5531200000000001E-2</v>
      </c>
      <c r="K55" s="222">
        <f t="shared" ref="K55:K57" si="79">J55/$J$53</f>
        <v>5.3578880304925934E-2</v>
      </c>
      <c r="L55" s="85">
        <f t="shared" si="64"/>
        <v>8.2062933333333338E-2</v>
      </c>
      <c r="M55" s="222">
        <f t="shared" ref="M55:M57" si="80">L55/$L$53</f>
        <v>7.6741483216934941E-2</v>
      </c>
      <c r="P55" s="226" t="s">
        <v>170</v>
      </c>
      <c r="Q55" s="224">
        <f>SUM('L Father '!H81)</f>
        <v>5.5879200000000004E-2</v>
      </c>
      <c r="R55" s="222">
        <f t="shared" ref="R55:R57" si="81">Q55/$Q$53</f>
        <v>5.3677415700141763E-2</v>
      </c>
      <c r="S55" s="225">
        <f>SUM('L Father '!K81)</f>
        <v>0.11185200000000001</v>
      </c>
      <c r="T55" s="222">
        <f t="shared" ref="T55:T57" si="82">S55/$S$53</f>
        <v>8.1655096634724547E-2</v>
      </c>
      <c r="U55" s="225">
        <f>SUM('L Father '!N81)</f>
        <v>5.5879200000000004E-2</v>
      </c>
      <c r="V55" s="222">
        <f t="shared" ref="V55:V57" si="83">U55/$U$53</f>
        <v>5.3480706008822723E-2</v>
      </c>
      <c r="W55" s="225">
        <f>SUM('L Father '!Q81)</f>
        <v>8.9575200000000008E-2</v>
      </c>
      <c r="X55" s="222">
        <f t="shared" ref="X55:X57" si="84">W55/$W$53</f>
        <v>7.1378102180812183E-2</v>
      </c>
      <c r="Y55" s="233">
        <f t="shared" si="74"/>
        <v>5.5879200000000004E-2</v>
      </c>
      <c r="Z55" s="247">
        <f t="shared" ref="Z55:Z57" si="85">Y55/$Y$53</f>
        <v>5.3578880304925934E-2</v>
      </c>
      <c r="AA55" s="85">
        <f t="shared" si="71"/>
        <v>0.10071360000000001</v>
      </c>
      <c r="AB55" s="247">
        <f t="shared" ref="AB55:AB57" si="86">AA55/$AA$53</f>
        <v>7.6741483216934955E-2</v>
      </c>
    </row>
    <row r="56" spans="1:28" s="85" customFormat="1" ht="17" x14ac:dyDescent="0.2">
      <c r="A56" s="223" t="s">
        <v>526</v>
      </c>
      <c r="B56" s="224">
        <f>SUM('L Boy'!H89:H98)</f>
        <v>0.35161290476190477</v>
      </c>
      <c r="C56" s="222">
        <f>B56/$B$53</f>
        <v>0.41452173574250445</v>
      </c>
      <c r="D56" s="225">
        <f>SUM('L Boy'!K89:K98)</f>
        <v>0.38383330158730156</v>
      </c>
      <c r="E56" s="222">
        <f t="shared" si="76"/>
        <v>0.34389295431945982</v>
      </c>
      <c r="F56" s="225">
        <f>SUM('L Boy'!N89:N98)</f>
        <v>0.35795144390637612</v>
      </c>
      <c r="G56" s="222">
        <f t="shared" si="77"/>
        <v>0.42044786733032508</v>
      </c>
      <c r="H56" s="225">
        <f>SUM('L Boy'!Q89:Q98)</f>
        <v>0.38741136454129677</v>
      </c>
      <c r="I56" s="222">
        <f t="shared" si="78"/>
        <v>0.37887037678163504</v>
      </c>
      <c r="J56" s="233">
        <f t="shared" si="73"/>
        <v>0.35478217433414044</v>
      </c>
      <c r="K56" s="222">
        <f t="shared" si="79"/>
        <v>0.41749024082322178</v>
      </c>
      <c r="L56" s="85">
        <f t="shared" si="64"/>
        <v>0.38562233306429916</v>
      </c>
      <c r="M56" s="222">
        <f t="shared" si="80"/>
        <v>0.36061628068696722</v>
      </c>
      <c r="P56" s="223" t="s">
        <v>526</v>
      </c>
      <c r="Q56" s="224">
        <f>SUM('L Father '!H89:H98)</f>
        <v>0.43152492857142866</v>
      </c>
      <c r="R56" s="222">
        <f t="shared" si="81"/>
        <v>0.4145217357425045</v>
      </c>
      <c r="S56" s="225">
        <f>SUM('L Father '!K89:K98)</f>
        <v>0.47106814285714299</v>
      </c>
      <c r="T56" s="222">
        <f t="shared" si="82"/>
        <v>0.34389295431945999</v>
      </c>
      <c r="U56" s="225">
        <f>SUM('L Father '!N89:N98)</f>
        <v>0.43930404479418894</v>
      </c>
      <c r="V56" s="222">
        <f t="shared" si="83"/>
        <v>0.42044786733032513</v>
      </c>
      <c r="W56" s="225">
        <f>SUM('L Father '!Q89:Q98)</f>
        <v>0.47545940193704606</v>
      </c>
      <c r="X56" s="222">
        <f t="shared" si="84"/>
        <v>0.3788703767816351</v>
      </c>
      <c r="Y56" s="233">
        <f t="shared" si="74"/>
        <v>0.4354144866828088</v>
      </c>
      <c r="Z56" s="247">
        <f t="shared" si="85"/>
        <v>0.41749024082322184</v>
      </c>
      <c r="AA56" s="85">
        <f t="shared" si="71"/>
        <v>0.4732637723970945</v>
      </c>
      <c r="AB56" s="247">
        <f t="shared" si="86"/>
        <v>0.36061628068696722</v>
      </c>
    </row>
    <row r="57" spans="1:28" s="85" customFormat="1" ht="17" x14ac:dyDescent="0.2">
      <c r="A57" s="226" t="s">
        <v>205</v>
      </c>
      <c r="B57" s="224">
        <f>SUM('L Boy'!H102:H106)</f>
        <v>0.36146</v>
      </c>
      <c r="C57" s="222">
        <f>B57/$B$53</f>
        <v>0.42613062425267167</v>
      </c>
      <c r="D57" s="225">
        <f>SUM('L Boy'!K102:K106)</f>
        <v>0.43296000000000001</v>
      </c>
      <c r="E57" s="222">
        <f t="shared" si="76"/>
        <v>0.38790770078163317</v>
      </c>
      <c r="F57" s="225">
        <f>SUM('L Boy'!N102:N106)</f>
        <v>0.36146</v>
      </c>
      <c r="G57" s="222">
        <f t="shared" si="77"/>
        <v>0.42456899870745907</v>
      </c>
      <c r="H57" s="225">
        <f>SUM('L Boy'!Q102:Q106)</f>
        <v>0.39776</v>
      </c>
      <c r="I57" s="222">
        <f t="shared" si="78"/>
        <v>0.38899086310256936</v>
      </c>
      <c r="J57" s="233">
        <f t="shared" si="73"/>
        <v>0.36146</v>
      </c>
      <c r="K57" s="222">
        <f t="shared" si="79"/>
        <v>0.42534837814550303</v>
      </c>
      <c r="L57" s="85">
        <f t="shared" si="64"/>
        <v>0.41536000000000001</v>
      </c>
      <c r="M57" s="222">
        <f t="shared" si="80"/>
        <v>0.38842557990842108</v>
      </c>
      <c r="P57" s="226" t="s">
        <v>205</v>
      </c>
      <c r="Q57" s="224">
        <f>SUM('L Father '!H102:H107)</f>
        <v>0.44360999999999995</v>
      </c>
      <c r="R57" s="222">
        <f t="shared" si="81"/>
        <v>0.42613062425267156</v>
      </c>
      <c r="S57" s="225">
        <f>SUM('L Father '!K102:K107)</f>
        <v>0.53136000000000005</v>
      </c>
      <c r="T57" s="222">
        <f t="shared" si="82"/>
        <v>0.38790770078163322</v>
      </c>
      <c r="U57" s="225">
        <f>SUM('L Father '!N102:N106)</f>
        <v>0.44360999999999995</v>
      </c>
      <c r="V57" s="222">
        <f t="shared" si="83"/>
        <v>0.42456899870745901</v>
      </c>
      <c r="W57" s="225">
        <f>SUM('L Father '!Q102:Q106)</f>
        <v>0.48816000000000004</v>
      </c>
      <c r="X57" s="222">
        <f t="shared" si="84"/>
        <v>0.38899086310256936</v>
      </c>
      <c r="Y57" s="233">
        <f t="shared" si="74"/>
        <v>0.44360999999999995</v>
      </c>
      <c r="Z57" s="247">
        <f t="shared" si="85"/>
        <v>0.42534837814550297</v>
      </c>
      <c r="AA57" s="85">
        <f t="shared" si="71"/>
        <v>0.50975999999999999</v>
      </c>
      <c r="AB57" s="247">
        <f t="shared" si="86"/>
        <v>0.38842557990842103</v>
      </c>
    </row>
    <row r="58" spans="1:28" ht="17" x14ac:dyDescent="0.2">
      <c r="A58" s="203" t="s">
        <v>413</v>
      </c>
      <c r="B58" s="207">
        <f>SUM('L Boy'!H109:H117)</f>
        <v>0.31474432000000002</v>
      </c>
      <c r="C58" s="217">
        <f t="shared" si="75"/>
        <v>8.3324058385876698E-2</v>
      </c>
      <c r="D58">
        <f>SUM('L Boy'!K109:K117)</f>
        <v>0.49487210666666676</v>
      </c>
      <c r="E58" s="217">
        <f t="shared" si="60"/>
        <v>8.5056153022723902E-2</v>
      </c>
      <c r="F58">
        <f>SUM('L Boy'!N109:N117)</f>
        <v>0.24053098666666667</v>
      </c>
      <c r="G58" s="217">
        <f t="shared" si="61"/>
        <v>6.538213450448993E-2</v>
      </c>
      <c r="H58">
        <f>SUM('L Boy'!Q109:Q117)</f>
        <v>0.32755477333333338</v>
      </c>
      <c r="I58" s="217">
        <f t="shared" si="62"/>
        <v>6.1903935681127231E-2</v>
      </c>
      <c r="J58" s="207">
        <f t="shared" si="73"/>
        <v>0.27763765333333335</v>
      </c>
      <c r="K58" s="217">
        <f t="shared" si="63"/>
        <v>7.447161133118059E-2</v>
      </c>
      <c r="L58">
        <f t="shared" si="64"/>
        <v>0.41121344000000004</v>
      </c>
      <c r="M58" s="217">
        <f t="shared" si="65"/>
        <v>7.4029012208413736E-2</v>
      </c>
      <c r="P58" s="203" t="s">
        <v>413</v>
      </c>
      <c r="Q58" s="207">
        <f>SUM('L Father '!H109:H118)</f>
        <v>0.38627711999999997</v>
      </c>
      <c r="R58" s="208">
        <f>Q58/$Q$62</f>
        <v>8.091014344278652E-2</v>
      </c>
      <c r="S58">
        <f>SUM('L Father '!K109:K117)</f>
        <v>0.60734303999999995</v>
      </c>
      <c r="T58" s="208">
        <f>S58/$S$62</f>
        <v>8.4675829698227734E-2</v>
      </c>
      <c r="U58">
        <f>SUM('L Father '!N109:N117)</f>
        <v>0.29519712000000004</v>
      </c>
      <c r="V58" s="208">
        <f>U58/$U$62</f>
        <v>6.3147507045039852E-2</v>
      </c>
      <c r="W58">
        <f>SUM('L Father '!Q109:Q117)</f>
        <v>0.40199903999999997</v>
      </c>
      <c r="X58" s="217">
        <f>W58/$W$62</f>
        <v>6.2622594703688458E-2</v>
      </c>
      <c r="Y58" s="207">
        <f t="shared" si="74"/>
        <v>0.34073712</v>
      </c>
      <c r="Z58" s="217">
        <f>Y58/$Y$62</f>
        <v>7.2122279352434052E-2</v>
      </c>
      <c r="AA58">
        <f t="shared" si="71"/>
        <v>0.50467103999999996</v>
      </c>
      <c r="AB58" s="217">
        <f>AA58/$AA$62</f>
        <v>7.4260232249343514E-2</v>
      </c>
    </row>
    <row r="59" spans="1:28" ht="34" x14ac:dyDescent="0.2">
      <c r="A59" s="203" t="s">
        <v>414</v>
      </c>
      <c r="B59" s="207">
        <f>SUM('L Boy'!H120:H122)</f>
        <v>0.10048133333333334</v>
      </c>
      <c r="C59" s="217">
        <f t="shared" si="75"/>
        <v>2.6600996279638679E-2</v>
      </c>
      <c r="D59">
        <f>SUM('L Boy'!K120:K122)</f>
        <v>0.27634639999999999</v>
      </c>
      <c r="E59" s="217">
        <f t="shared" si="60"/>
        <v>4.7497042910747869E-2</v>
      </c>
      <c r="F59">
        <f>SUM('L Boy'!N120:N122)</f>
        <v>0.10320933333333335</v>
      </c>
      <c r="G59" s="217">
        <f t="shared" si="61"/>
        <v>2.8054790809428368E-2</v>
      </c>
      <c r="H59">
        <f>SUM('L Boy'!Q120:Q122)</f>
        <v>0.22678773333333335</v>
      </c>
      <c r="I59" s="217">
        <f t="shared" si="62"/>
        <v>4.2860169963844723E-2</v>
      </c>
      <c r="J59" s="207">
        <f t="shared" si="73"/>
        <v>0.10184533333333334</v>
      </c>
      <c r="K59" s="217">
        <f t="shared" si="63"/>
        <v>2.7318290544648977E-2</v>
      </c>
      <c r="L59">
        <f t="shared" si="64"/>
        <v>0.25156706666666667</v>
      </c>
      <c r="M59" s="217">
        <f t="shared" si="65"/>
        <v>4.5288552459524414E-2</v>
      </c>
      <c r="P59" s="203" t="s">
        <v>414</v>
      </c>
      <c r="Q59" s="207">
        <f>SUM('L Father '!H120:H122)</f>
        <v>0.12331800000000002</v>
      </c>
      <c r="R59" s="208">
        <f t="shared" ref="R59:R60" si="87">Q59/$Q$62</f>
        <v>2.5830359999260508E-2</v>
      </c>
      <c r="S59">
        <f>SUM('L Father '!K120:K122)</f>
        <v>0.33915240000000008</v>
      </c>
      <c r="T59" s="208">
        <f t="shared" ref="T59:T60" si="88">S59/$S$62</f>
        <v>4.7284662822752066E-2</v>
      </c>
      <c r="U59">
        <f>SUM('L Father '!N120:N122)</f>
        <v>0.12666600000000003</v>
      </c>
      <c r="V59" s="208">
        <f t="shared" ref="V59:V60" si="89">U59/$U$62</f>
        <v>2.7095935513757784E-2</v>
      </c>
      <c r="W59">
        <f>SUM('L Father '!Q120:Q122)</f>
        <v>0.27833040000000003</v>
      </c>
      <c r="X59" s="217">
        <f t="shared" ref="X59:X60" si="90">W59/$W$62</f>
        <v>4.3357744916295057E-2</v>
      </c>
      <c r="Y59" s="207">
        <f t="shared" si="74"/>
        <v>0.12499200000000002</v>
      </c>
      <c r="Z59" s="217">
        <f t="shared" ref="Z59:Z60" si="91">Y59/$Y$62</f>
        <v>2.6456489216142454E-2</v>
      </c>
      <c r="AA59">
        <f t="shared" si="71"/>
        <v>0.30874140000000005</v>
      </c>
      <c r="AB59" s="217">
        <f t="shared" ref="AB59:AB60" si="92">AA59/$AA$62</f>
        <v>4.5430005393191322E-2</v>
      </c>
    </row>
    <row r="60" spans="1:28" ht="17" x14ac:dyDescent="0.2">
      <c r="A60" s="212" t="s">
        <v>618</v>
      </c>
      <c r="B60" s="209">
        <f>SUM('L Boy'!H125:H128)</f>
        <v>0.26856960000000002</v>
      </c>
      <c r="C60" s="218">
        <f t="shared" si="75"/>
        <v>7.1099961489603847E-2</v>
      </c>
      <c r="D60" s="210">
        <f>SUM('L Boy'!K125:K128)</f>
        <v>0.61117142857142859</v>
      </c>
      <c r="E60" s="218">
        <f t="shared" si="60"/>
        <v>0.10504510125219732</v>
      </c>
      <c r="F60" s="210">
        <f>SUM('L Boy'!N125:N128)</f>
        <v>0.26881500000000003</v>
      </c>
      <c r="G60" s="218">
        <f t="shared" si="61"/>
        <v>7.3070412799583567E-2</v>
      </c>
      <c r="H60" s="210">
        <f>SUM('L Boy'!Q125:Q128)</f>
        <v>0.63774285714285717</v>
      </c>
      <c r="I60" s="218">
        <f t="shared" si="62"/>
        <v>0.12052577469080103</v>
      </c>
      <c r="J60" s="209">
        <f t="shared" si="73"/>
        <v>0.2686923</v>
      </c>
      <c r="K60" s="218">
        <f t="shared" si="63"/>
        <v>7.2072171382521075E-2</v>
      </c>
      <c r="L60" s="210">
        <f t="shared" si="64"/>
        <v>0.62445714285714282</v>
      </c>
      <c r="M60" s="218">
        <f t="shared" si="65"/>
        <v>0.11241837195837417</v>
      </c>
      <c r="P60" s="216" t="s">
        <v>619</v>
      </c>
      <c r="Q60" s="209">
        <f>SUM('L Father '!H125:H129)</f>
        <v>0.46791622857142851</v>
      </c>
      <c r="R60" s="211">
        <f t="shared" si="87"/>
        <v>9.8010384805918532E-2</v>
      </c>
      <c r="S60" s="210">
        <f>SUM('L Father '!K125:K129)</f>
        <v>0.78214571428571422</v>
      </c>
      <c r="T60" s="211">
        <f t="shared" si="88"/>
        <v>0.10904683669719148</v>
      </c>
      <c r="U60" s="210">
        <f>SUM('L Father '!N125:N129)</f>
        <v>0.48968178571428567</v>
      </c>
      <c r="V60" s="211">
        <f t="shared" si="89"/>
        <v>0.10475096780490455</v>
      </c>
      <c r="W60" s="210">
        <f>SUM('L Father '!Q125:Q129)</f>
        <v>0.70816000000000001</v>
      </c>
      <c r="X60" s="218">
        <f t="shared" si="90"/>
        <v>0.11031572778224551</v>
      </c>
      <c r="Y60" s="209">
        <f t="shared" si="74"/>
        <v>0.47879900714285706</v>
      </c>
      <c r="Z60" s="218">
        <f t="shared" si="91"/>
        <v>0.10134521224698149</v>
      </c>
      <c r="AA60" s="210">
        <f t="shared" si="71"/>
        <v>0.74515285714285717</v>
      </c>
      <c r="AB60" s="218">
        <f t="shared" si="92"/>
        <v>0.10964612558844365</v>
      </c>
    </row>
    <row r="61" spans="1:28" x14ac:dyDescent="0.2">
      <c r="C61" s="83"/>
      <c r="E61" s="83"/>
      <c r="G61" s="83"/>
      <c r="I61" s="83"/>
      <c r="R61" s="83"/>
      <c r="T61" s="83"/>
      <c r="V61" s="83"/>
      <c r="X61" s="83"/>
    </row>
    <row r="62" spans="1:28" ht="18" thickBot="1" x14ac:dyDescent="0.25">
      <c r="A62" s="213" t="s">
        <v>529</v>
      </c>
      <c r="B62" s="214">
        <f>SUM(B48:B53,B58:B60)</f>
        <v>3.7773522569244982</v>
      </c>
      <c r="C62" s="214">
        <f>SUM(C48:C53,C58:C60)</f>
        <v>1</v>
      </c>
      <c r="D62" s="214">
        <f t="shared" ref="D62:G62" si="93">SUM(D48:D53,D58:D60)</f>
        <v>5.8181811553886638</v>
      </c>
      <c r="E62" s="214">
        <f t="shared" si="93"/>
        <v>0.99999999999999989</v>
      </c>
      <c r="F62" s="214">
        <f t="shared" si="93"/>
        <v>3.6788487939338976</v>
      </c>
      <c r="G62" s="214">
        <f t="shared" si="93"/>
        <v>1</v>
      </c>
      <c r="H62" s="214">
        <f>SUM(H48:H53,H58:H60)</f>
        <v>5.2913400372570436</v>
      </c>
      <c r="I62" s="214">
        <f>SUM(I48:I53,I58:I60)</f>
        <v>1</v>
      </c>
      <c r="J62" s="227">
        <f t="shared" ref="J62" si="94">SUM(J48:J53,J58:J60)</f>
        <v>3.7281005254291979</v>
      </c>
      <c r="K62" s="214">
        <f>SUM(K48:K53,K58:K60)</f>
        <v>1</v>
      </c>
      <c r="L62" s="227">
        <f t="shared" ref="L62:M62" si="95">SUM(L48:L53,L58:L60)</f>
        <v>5.5547605963228532</v>
      </c>
      <c r="M62" s="214">
        <f t="shared" si="95"/>
        <v>1</v>
      </c>
      <c r="P62" s="213" t="s">
        <v>529</v>
      </c>
      <c r="Q62" s="214">
        <f>SUM(Q48:Q53,Q58:Q60)</f>
        <v>4.7741494893424044</v>
      </c>
      <c r="R62" s="214">
        <f>SUM(R48:R53,R58:R60)</f>
        <v>0.99999999999999978</v>
      </c>
      <c r="S62" s="214">
        <f t="shared" ref="S62:V62" si="96">SUM(S48:S53,S58:S60)</f>
        <v>7.1725667426523207</v>
      </c>
      <c r="T62" s="214">
        <f t="shared" si="96"/>
        <v>1</v>
      </c>
      <c r="U62" s="214">
        <f>SUM(U48:U53,U58:U60)</f>
        <v>4.6747232600877053</v>
      </c>
      <c r="V62" s="214">
        <f t="shared" si="96"/>
        <v>0.99999999999999989</v>
      </c>
      <c r="W62" s="214">
        <f>SUM(W48:W53,W58:W60)</f>
        <v>6.4193929028674104</v>
      </c>
      <c r="X62" s="214">
        <f>SUM(X48:X53,X58:X60)</f>
        <v>1</v>
      </c>
      <c r="Y62" s="227">
        <f t="shared" ref="Y62" si="97">SUM(Y48:Y53,Y58:Y60)</f>
        <v>4.7244363747150553</v>
      </c>
      <c r="Z62" s="214">
        <f>SUM(Z48:Z53,Z58:Z60)</f>
        <v>0.99999999999999978</v>
      </c>
      <c r="AA62" s="227">
        <f t="shared" ref="AA62" si="98">SUM(AA48:AA53,AA58:AA60)</f>
        <v>6.7959798227598647</v>
      </c>
      <c r="AB62" s="214">
        <f>SUM(AB48:AB53,AB58:AB60)</f>
        <v>1</v>
      </c>
    </row>
    <row r="63" spans="1:28" ht="17" thickTop="1" x14ac:dyDescent="0.2"/>
    <row r="65" spans="1:28" x14ac:dyDescent="0.2">
      <c r="A65" s="466" t="s">
        <v>530</v>
      </c>
      <c r="B65" s="466"/>
      <c r="C65" s="466"/>
      <c r="D65" s="466"/>
      <c r="E65" s="466"/>
      <c r="F65" s="466"/>
      <c r="G65" s="466"/>
      <c r="H65" s="466"/>
      <c r="I65" s="466"/>
      <c r="J65" s="466"/>
      <c r="K65" s="466"/>
      <c r="L65" s="466"/>
      <c r="M65" s="466"/>
      <c r="P65" s="466" t="s">
        <v>531</v>
      </c>
      <c r="Q65" s="466"/>
      <c r="R65" s="466"/>
      <c r="S65" s="466"/>
      <c r="T65" s="466"/>
      <c r="U65" s="466"/>
      <c r="V65" s="466"/>
      <c r="W65" s="466"/>
      <c r="X65" s="466"/>
      <c r="Y65" s="466"/>
      <c r="Z65" s="466"/>
      <c r="AA65" s="466"/>
      <c r="AB65" s="466"/>
    </row>
    <row r="66" spans="1:28" x14ac:dyDescent="0.2">
      <c r="A66" s="463" t="s">
        <v>504</v>
      </c>
      <c r="B66" s="458" t="s">
        <v>427</v>
      </c>
      <c r="C66" s="459"/>
      <c r="D66" s="459"/>
      <c r="E66" s="201"/>
      <c r="F66" s="458" t="s">
        <v>519</v>
      </c>
      <c r="G66" s="459"/>
      <c r="H66" s="459"/>
      <c r="I66" s="459"/>
      <c r="J66" s="458" t="s">
        <v>490</v>
      </c>
      <c r="K66" s="459"/>
      <c r="L66" s="459"/>
      <c r="M66" s="460"/>
      <c r="P66" s="463" t="s">
        <v>504</v>
      </c>
      <c r="Q66" s="458" t="s">
        <v>427</v>
      </c>
      <c r="R66" s="459"/>
      <c r="S66" s="459"/>
      <c r="T66" s="201"/>
      <c r="U66" s="458" t="s">
        <v>519</v>
      </c>
      <c r="V66" s="459"/>
      <c r="W66" s="459"/>
      <c r="X66" s="459"/>
      <c r="Y66" s="458" t="s">
        <v>490</v>
      </c>
      <c r="Z66" s="459"/>
      <c r="AA66" s="459"/>
      <c r="AB66" s="460"/>
    </row>
    <row r="67" spans="1:28" x14ac:dyDescent="0.2">
      <c r="A67" s="464"/>
      <c r="B67" s="453" t="s">
        <v>483</v>
      </c>
      <c r="C67" s="454"/>
      <c r="D67" s="454" t="s">
        <v>485</v>
      </c>
      <c r="E67" s="461"/>
      <c r="F67" s="453" t="s">
        <v>520</v>
      </c>
      <c r="G67" s="454"/>
      <c r="H67" s="454" t="s">
        <v>485</v>
      </c>
      <c r="I67" s="454"/>
      <c r="J67" s="453" t="s">
        <v>483</v>
      </c>
      <c r="K67" s="454"/>
      <c r="L67" s="454" t="s">
        <v>485</v>
      </c>
      <c r="M67" s="461"/>
      <c r="P67" s="464"/>
      <c r="Q67" s="453" t="s">
        <v>483</v>
      </c>
      <c r="R67" s="454"/>
      <c r="S67" s="454" t="s">
        <v>485</v>
      </c>
      <c r="T67" s="461"/>
      <c r="U67" s="453" t="s">
        <v>520</v>
      </c>
      <c r="V67" s="454"/>
      <c r="W67" s="454" t="s">
        <v>485</v>
      </c>
      <c r="X67" s="454"/>
      <c r="Y67" s="453" t="s">
        <v>483</v>
      </c>
      <c r="Z67" s="454"/>
      <c r="AA67" s="454" t="s">
        <v>485</v>
      </c>
      <c r="AB67" s="461"/>
    </row>
    <row r="68" spans="1:28" x14ac:dyDescent="0.2">
      <c r="A68" s="465"/>
      <c r="B68" s="455" t="s">
        <v>521</v>
      </c>
      <c r="C68" s="456"/>
      <c r="D68" s="456" t="s">
        <v>522</v>
      </c>
      <c r="E68" s="456"/>
      <c r="F68" s="455" t="s">
        <v>521</v>
      </c>
      <c r="G68" s="456"/>
      <c r="H68" s="456" t="s">
        <v>522</v>
      </c>
      <c r="I68" s="456"/>
      <c r="J68" s="455" t="s">
        <v>521</v>
      </c>
      <c r="K68" s="456"/>
      <c r="L68" s="456" t="s">
        <v>522</v>
      </c>
      <c r="M68" s="457"/>
      <c r="P68" s="465"/>
      <c r="Q68" s="455" t="s">
        <v>521</v>
      </c>
      <c r="R68" s="456"/>
      <c r="S68" s="456" t="s">
        <v>522</v>
      </c>
      <c r="T68" s="456"/>
      <c r="U68" s="455" t="s">
        <v>521</v>
      </c>
      <c r="V68" s="456"/>
      <c r="W68" s="456" t="s">
        <v>522</v>
      </c>
      <c r="X68" s="456"/>
      <c r="Y68" s="455" t="s">
        <v>521</v>
      </c>
      <c r="Z68" s="456"/>
      <c r="AA68" s="456" t="s">
        <v>522</v>
      </c>
      <c r="AB68" s="457"/>
    </row>
    <row r="69" spans="1:28" x14ac:dyDescent="0.2">
      <c r="A69" s="202"/>
      <c r="B69" s="199" t="s">
        <v>523</v>
      </c>
      <c r="C69" s="219" t="s">
        <v>386</v>
      </c>
      <c r="D69" s="199" t="s">
        <v>523</v>
      </c>
      <c r="E69" s="219" t="s">
        <v>386</v>
      </c>
      <c r="F69" s="199" t="s">
        <v>523</v>
      </c>
      <c r="G69" s="219" t="s">
        <v>386</v>
      </c>
      <c r="H69" s="199" t="s">
        <v>523</v>
      </c>
      <c r="I69" s="219" t="s">
        <v>386</v>
      </c>
      <c r="J69" s="199" t="s">
        <v>523</v>
      </c>
      <c r="K69" s="219" t="s">
        <v>386</v>
      </c>
      <c r="L69" s="199" t="s">
        <v>523</v>
      </c>
      <c r="M69" s="219" t="s">
        <v>386</v>
      </c>
      <c r="P69" s="202"/>
      <c r="Q69" s="199" t="s">
        <v>523</v>
      </c>
      <c r="R69" s="219" t="s">
        <v>386</v>
      </c>
      <c r="S69" s="199" t="s">
        <v>523</v>
      </c>
      <c r="T69" s="219" t="s">
        <v>386</v>
      </c>
      <c r="U69" s="199" t="s">
        <v>523</v>
      </c>
      <c r="V69" s="219" t="s">
        <v>386</v>
      </c>
      <c r="W69" s="199" t="s">
        <v>523</v>
      </c>
      <c r="X69" s="219" t="s">
        <v>386</v>
      </c>
      <c r="Y69" s="199" t="s">
        <v>523</v>
      </c>
      <c r="Z69" s="219" t="s">
        <v>386</v>
      </c>
      <c r="AA69" s="199" t="s">
        <v>523</v>
      </c>
      <c r="AB69" s="219" t="s">
        <v>386</v>
      </c>
    </row>
    <row r="70" spans="1:28" ht="17" x14ac:dyDescent="0.2">
      <c r="A70" s="215" t="s">
        <v>390</v>
      </c>
      <c r="B70" s="204">
        <f>SUM(' H Girl'!H12:H16)</f>
        <v>0.44588800000000006</v>
      </c>
      <c r="C70" s="206">
        <f>B70/$B$84</f>
        <v>0.11417862119036051</v>
      </c>
      <c r="D70" s="204">
        <f>SUM(' H Girl'!K12:K16)</f>
        <v>0.62572800000000006</v>
      </c>
      <c r="E70" s="206">
        <f>D70/$D$84</f>
        <v>9.5661969772208449E-2</v>
      </c>
      <c r="F70" s="204">
        <f>SUM(' H Girl'!N12:N16)</f>
        <v>0.52052799999999999</v>
      </c>
      <c r="G70" s="206">
        <f>F70/$F$84</f>
        <v>0.13719210341257509</v>
      </c>
      <c r="H70" s="204">
        <f>SUM(' H Girl'!Q12:Q16)</f>
        <v>0.66316799999999998</v>
      </c>
      <c r="I70" s="206">
        <f>H70/$H$84</f>
        <v>0.11463498885612959</v>
      </c>
      <c r="J70" s="204">
        <f>(B70+F70)/2</f>
        <v>0.48320800000000003</v>
      </c>
      <c r="K70" s="332">
        <f>J70/$J$84</f>
        <v>0.1255194339281944</v>
      </c>
      <c r="L70" s="205">
        <f>(D70+H70)/2</f>
        <v>0.64444800000000002</v>
      </c>
      <c r="M70" s="332">
        <f>L70/$L$84</f>
        <v>0.10456664558353272</v>
      </c>
      <c r="P70" s="203" t="s">
        <v>390</v>
      </c>
      <c r="Q70" s="204">
        <f>SUM('H Mother'!H12:H16)</f>
        <v>0.46818240000000005</v>
      </c>
      <c r="R70" s="206">
        <f>Q70/$Q$84</f>
        <v>0.11031015763038322</v>
      </c>
      <c r="S70" s="204">
        <f>SUM('H Mother'!K12:K16)</f>
        <v>0.6570144</v>
      </c>
      <c r="T70" s="206">
        <f>S70/$S$84</f>
        <v>9.4312177964232552E-2</v>
      </c>
      <c r="U70" s="204">
        <f>SUM('H Mother'!N12:N16)</f>
        <v>0.5465544</v>
      </c>
      <c r="V70" s="206">
        <f>U70/$U$84</f>
        <v>0.13172626475541452</v>
      </c>
      <c r="W70" s="204">
        <f>SUM('H Mother'!Q12:Q16)</f>
        <v>0.69632640000000001</v>
      </c>
      <c r="X70" s="206">
        <f>W70/$W$84</f>
        <v>0.11470277996290239</v>
      </c>
      <c r="Y70" s="204">
        <f>(Q70+U70)/2</f>
        <v>0.50736840000000005</v>
      </c>
      <c r="Z70" s="332">
        <f>Y70/$Y$84</f>
        <v>0.1208969255989638</v>
      </c>
      <c r="AA70" s="205">
        <f>(S70+W70)/2</f>
        <v>0.67667040000000001</v>
      </c>
      <c r="AB70" s="332">
        <f>AA70/$AA$22</f>
        <v>8.2006794903188601E-2</v>
      </c>
    </row>
    <row r="71" spans="1:28" ht="34" x14ac:dyDescent="0.2">
      <c r="A71" s="9" t="s">
        <v>39</v>
      </c>
      <c r="B71" s="207">
        <f>SUM(' H Girl'!H19)</f>
        <v>3.6799999999999999E-2</v>
      </c>
      <c r="C71" s="208">
        <f t="shared" ref="C71:C82" si="99">B71/$B$84</f>
        <v>9.4233826875925481E-3</v>
      </c>
      <c r="D71" s="207">
        <f>SUM(' H Girl'!K19)</f>
        <v>6.1200000000000004E-2</v>
      </c>
      <c r="E71" s="208">
        <f t="shared" ref="E71:E82" si="100">D71/$D$84</f>
        <v>9.3563218364195889E-3</v>
      </c>
      <c r="F71" s="207">
        <f>SUM(' H Girl'!N19)</f>
        <v>3.8399999999999997E-2</v>
      </c>
      <c r="G71" s="208">
        <f t="shared" ref="G71:G82" si="101">F71/$F$84</f>
        <v>1.0120832637327644E-2</v>
      </c>
      <c r="H71" s="207">
        <f>SUM(' H Girl'!Q19)</f>
        <v>5.8399999999999994E-2</v>
      </c>
      <c r="I71" s="208">
        <f t="shared" ref="I71:I82" si="102">H71/$H$84</f>
        <v>1.0095003602703942E-2</v>
      </c>
      <c r="J71" s="207">
        <f t="shared" ref="J71:J81" si="103">(B71+F71)/2</f>
        <v>3.7599999999999995E-2</v>
      </c>
      <c r="K71" s="327">
        <f t="shared" ref="K71:K82" si="104">J71/$J$84</f>
        <v>9.7670790129718646E-3</v>
      </c>
      <c r="L71">
        <f t="shared" ref="L71:L81" si="105">(D71+H71)/2</f>
        <v>5.9799999999999999E-2</v>
      </c>
      <c r="M71" s="327">
        <f t="shared" ref="M71:M82" si="106">L71/$L$84</f>
        <v>9.7030100270235238E-3</v>
      </c>
      <c r="P71" s="203" t="s">
        <v>39</v>
      </c>
      <c r="Q71" s="207">
        <f>SUM('H Mother'!H19)</f>
        <v>3.8640000000000001E-2</v>
      </c>
      <c r="R71" s="208">
        <f t="shared" ref="R71:R75" si="107">Q71/$Q$84</f>
        <v>9.1041108995938494E-3</v>
      </c>
      <c r="S71" s="207">
        <f>SUM('H Mother'!K19)</f>
        <v>6.4260000000000012E-2</v>
      </c>
      <c r="T71" s="208">
        <f t="shared" ref="T71:T75" si="108">S71/$S$84</f>
        <v>9.2243039969619918E-3</v>
      </c>
      <c r="U71" s="207">
        <f>SUM('H Mother'!N19)</f>
        <v>4.0319999999999995E-2</v>
      </c>
      <c r="V71" s="208">
        <f t="shared" ref="V71:V75" si="109">U71/$U$84</f>
        <v>9.7176109001012746E-3</v>
      </c>
      <c r="W71" s="207">
        <f>SUM('H Mother'!Q19)</f>
        <v>6.132E-2</v>
      </c>
      <c r="X71" s="208">
        <f t="shared" ref="X71:X75" si="110">W71/$W$84</f>
        <v>1.0100973433328357E-2</v>
      </c>
      <c r="Y71" s="207">
        <f t="shared" ref="Y71:Y81" si="111">(Q71+U71)/2</f>
        <v>3.9480000000000001E-2</v>
      </c>
      <c r="Z71" s="327">
        <f t="shared" ref="Z71:Z75" si="112">Y71/$Y$84</f>
        <v>9.4073864723287666E-3</v>
      </c>
      <c r="AA71">
        <f t="shared" ref="AA71:AA81" si="113">(S71+W71)/2</f>
        <v>6.2790000000000012E-2</v>
      </c>
      <c r="AB71" s="327">
        <f>AA71/$AA$22</f>
        <v>7.6096230187861222E-3</v>
      </c>
    </row>
    <row r="72" spans="1:28" ht="17" x14ac:dyDescent="0.2">
      <c r="A72" s="215" t="s">
        <v>524</v>
      </c>
      <c r="B72" s="207">
        <f>SUM(' H Girl'!H24:H31,' H Girl'!H34:H39,' H Girl'!H42:H46)</f>
        <v>0.60761498495443078</v>
      </c>
      <c r="C72" s="208">
        <f t="shared" si="99"/>
        <v>0.15559207961797256</v>
      </c>
      <c r="D72" s="207">
        <f>SUM(' H Girl'!K24:K31,' H Girl'!K34:K39,' H Girl'!K42:K46)</f>
        <v>0.98081255248313215</v>
      </c>
      <c r="E72" s="208">
        <f t="shared" si="100"/>
        <v>0.1499476781410517</v>
      </c>
      <c r="F72" s="207">
        <f>SUM(' H Girl'!N24:N31,' H Girl'!N34:N39,' H Girl'!N42:N46)</f>
        <v>0.53961249492115748</v>
      </c>
      <c r="G72" s="208">
        <f t="shared" si="101"/>
        <v>0.14222207682572521</v>
      </c>
      <c r="H72" s="207">
        <f>SUM(' H Girl'!Q24:Q31,' H Girl'!Q34:Q39,' H Girl'!Q42:Q46)</f>
        <v>0.79054066049638338</v>
      </c>
      <c r="I72" s="208">
        <f t="shared" si="102"/>
        <v>0.13665258246224221</v>
      </c>
      <c r="J72" s="207">
        <f t="shared" si="103"/>
        <v>0.57361373993779408</v>
      </c>
      <c r="K72" s="327">
        <f t="shared" si="104"/>
        <v>0.14900347661964708</v>
      </c>
      <c r="L72">
        <f t="shared" si="105"/>
        <v>0.88567660648975777</v>
      </c>
      <c r="M72" s="327">
        <f t="shared" si="106"/>
        <v>0.14370784270017203</v>
      </c>
      <c r="P72" s="203" t="s">
        <v>524</v>
      </c>
      <c r="Q72" s="207">
        <f>SUM('H Mother'!H24:H46)</f>
        <v>0.6379957342021525</v>
      </c>
      <c r="R72" s="208">
        <f t="shared" si="107"/>
        <v>0.15032049476304857</v>
      </c>
      <c r="S72" s="207">
        <f>SUM('H Mother'!K24:K46)</f>
        <v>1.0298531801072888</v>
      </c>
      <c r="T72" s="208">
        <f t="shared" si="108"/>
        <v>0.1478319141853047</v>
      </c>
      <c r="U72" s="207">
        <f>SUM('H Mother'!N24:N46)</f>
        <v>0.56659311966721537</v>
      </c>
      <c r="V72" s="208">
        <f t="shared" si="109"/>
        <v>0.13655584016866365</v>
      </c>
      <c r="W72" s="207">
        <f>SUM('H Mother'!Q24:Q46)</f>
        <v>0.83006769352120258</v>
      </c>
      <c r="X72" s="208">
        <f t="shared" si="110"/>
        <v>0.13673339400068185</v>
      </c>
      <c r="Y72" s="207">
        <f t="shared" si="111"/>
        <v>0.60229442693468394</v>
      </c>
      <c r="Z72" s="327">
        <f t="shared" si="112"/>
        <v>0.14351612067640201</v>
      </c>
      <c r="AA72">
        <f t="shared" si="113"/>
        <v>0.92996043681424567</v>
      </c>
      <c r="AB72" s="327">
        <f t="shared" ref="AB72:AB75" si="114">AA72/$AA$22</f>
        <v>0.11270342963118458</v>
      </c>
    </row>
    <row r="73" spans="1:28" ht="17" x14ac:dyDescent="0.2">
      <c r="A73" s="215" t="s">
        <v>399</v>
      </c>
      <c r="B73" s="207">
        <f>SUM(' H Girl'!H49:H58)</f>
        <v>0.37433651126175727</v>
      </c>
      <c r="C73" s="208">
        <f t="shared" si="99"/>
        <v>9.5856418466245555E-2</v>
      </c>
      <c r="D73" s="207">
        <f>SUM(' H Girl'!K49:K58)</f>
        <v>0.5633225553016552</v>
      </c>
      <c r="E73" s="208">
        <f t="shared" si="100"/>
        <v>8.6121358253538532E-2</v>
      </c>
      <c r="F73" s="207">
        <f>SUM(' H Girl'!N49:N58)</f>
        <v>0.32007766602072246</v>
      </c>
      <c r="G73" s="208">
        <f t="shared" si="101"/>
        <v>8.436074189432774E-2</v>
      </c>
      <c r="H73" s="207">
        <f>SUM(' H Girl'!Q49:Q58)</f>
        <v>0.51282168093351588</v>
      </c>
      <c r="I73" s="208">
        <f t="shared" si="102"/>
        <v>8.8646176653570802E-2</v>
      </c>
      <c r="J73" s="207">
        <f t="shared" si="103"/>
        <v>0.34720708864123984</v>
      </c>
      <c r="K73" s="327">
        <f t="shared" si="104"/>
        <v>9.0191464591034998E-2</v>
      </c>
      <c r="L73">
        <f t="shared" si="105"/>
        <v>0.5380721181175856</v>
      </c>
      <c r="M73" s="327">
        <f t="shared" si="106"/>
        <v>8.7306340424025408E-2</v>
      </c>
      <c r="P73" s="203" t="s">
        <v>399</v>
      </c>
      <c r="Q73" s="207">
        <f>SUM('H Mother'!H49:H58)</f>
        <v>0.39305333682484517</v>
      </c>
      <c r="R73" s="208">
        <f t="shared" si="107"/>
        <v>9.2608725877557072E-2</v>
      </c>
      <c r="S73" s="207">
        <f>SUM('H Mother'!K49:K58)</f>
        <v>0.59148868306673807</v>
      </c>
      <c r="T73" s="208">
        <f t="shared" si="108"/>
        <v>8.4906184615161778E-2</v>
      </c>
      <c r="U73" s="207">
        <f>SUM('H Mother'!N49:N58)</f>
        <v>0.3360815493217586</v>
      </c>
      <c r="V73" s="208">
        <f t="shared" si="109"/>
        <v>8.0999745213592406E-2</v>
      </c>
      <c r="W73" s="207">
        <f>SUM('H Mother'!Q49:Q58)</f>
        <v>0.53846276498019174</v>
      </c>
      <c r="X73" s="208">
        <f t="shared" si="110"/>
        <v>8.8698598889456082E-2</v>
      </c>
      <c r="Y73" s="207">
        <f t="shared" si="111"/>
        <v>0.36456744307330191</v>
      </c>
      <c r="Z73" s="327">
        <f t="shared" si="112"/>
        <v>8.6869980552666357E-2</v>
      </c>
      <c r="AA73">
        <f t="shared" si="113"/>
        <v>0.56497572402346496</v>
      </c>
      <c r="AB73" s="327">
        <f t="shared" si="114"/>
        <v>6.8470334043387704E-2</v>
      </c>
    </row>
    <row r="74" spans="1:28" ht="17" x14ac:dyDescent="0.2">
      <c r="A74" s="9" t="s">
        <v>400</v>
      </c>
      <c r="B74" s="207">
        <f>SUM(' H Girl'!H61:H69)</f>
        <v>0.57655999999999996</v>
      </c>
      <c r="C74" s="208">
        <f t="shared" si="99"/>
        <v>0.14763982397712933</v>
      </c>
      <c r="D74" s="207">
        <f>SUM(' H Girl'!K61:K69)</f>
        <v>0.78680000000000017</v>
      </c>
      <c r="E74" s="208">
        <f t="shared" si="100"/>
        <v>0.12028683040677997</v>
      </c>
      <c r="F74" s="207">
        <f>SUM(' H Girl'!N61:N69)</f>
        <v>0.59496000000000004</v>
      </c>
      <c r="G74" s="208">
        <f t="shared" si="101"/>
        <v>0.15680965067459521</v>
      </c>
      <c r="H74" s="207">
        <f>SUM(' H Girl'!Q61:Q69)</f>
        <v>0.7720800000000001</v>
      </c>
      <c r="I74" s="208">
        <f t="shared" si="102"/>
        <v>0.13346147913656953</v>
      </c>
      <c r="J74" s="207">
        <f t="shared" si="103"/>
        <v>0.58576000000000006</v>
      </c>
      <c r="K74" s="327">
        <f t="shared" si="104"/>
        <v>0.15215862241059577</v>
      </c>
      <c r="L74">
        <f t="shared" si="105"/>
        <v>0.77944000000000013</v>
      </c>
      <c r="M74" s="327">
        <f t="shared" si="106"/>
        <v>0.12647013604453541</v>
      </c>
      <c r="P74" s="203" t="s">
        <v>400</v>
      </c>
      <c r="Q74" s="207">
        <f>SUM('H Mother'!H61:H69)</f>
        <v>0.60538799999999993</v>
      </c>
      <c r="R74" s="208">
        <f t="shared" si="107"/>
        <v>0.14263766794211494</v>
      </c>
      <c r="S74" s="207">
        <f>SUM('H Mother'!K61:K69)</f>
        <v>0.82613999999999999</v>
      </c>
      <c r="T74" s="208">
        <f t="shared" si="108"/>
        <v>0.11858958145113878</v>
      </c>
      <c r="U74" s="207">
        <f>SUM('H Mother'!N61:N69)</f>
        <v>0.62470800000000004</v>
      </c>
      <c r="V74" s="208">
        <f t="shared" si="109"/>
        <v>0.15056223388344417</v>
      </c>
      <c r="W74" s="207">
        <f>SUM('H Mother'!Q61:Q69)</f>
        <v>0.81068399999999996</v>
      </c>
      <c r="X74" s="208">
        <f t="shared" si="110"/>
        <v>0.13354040356856434</v>
      </c>
      <c r="Y74" s="207">
        <f t="shared" si="111"/>
        <v>0.61504800000000004</v>
      </c>
      <c r="Z74" s="327">
        <f t="shared" si="112"/>
        <v>0.14655507180934305</v>
      </c>
      <c r="AA74">
        <f t="shared" si="113"/>
        <v>0.81841199999999992</v>
      </c>
      <c r="AB74" s="327">
        <f t="shared" si="114"/>
        <v>9.9184691735161423E-2</v>
      </c>
    </row>
    <row r="75" spans="1:28" ht="17" x14ac:dyDescent="0.2">
      <c r="A75" s="215" t="s">
        <v>156</v>
      </c>
      <c r="B75" s="207">
        <f>SUM(' H Girl'!H72:H106)</f>
        <v>1.2395324424333838</v>
      </c>
      <c r="C75" s="208">
        <f t="shared" si="99"/>
        <v>0.31740729779174065</v>
      </c>
      <c r="D75" s="207">
        <f>SUM(' H Girl'!K72:K106)</f>
        <v>2.2324896732026143</v>
      </c>
      <c r="E75" s="208">
        <f t="shared" si="100"/>
        <v>0.3413054228589355</v>
      </c>
      <c r="F75" s="207">
        <f>SUM(' H Girl'!N72:N106)</f>
        <v>1.2208698728089238</v>
      </c>
      <c r="G75" s="208">
        <f t="shared" si="101"/>
        <v>0.32177655350663037</v>
      </c>
      <c r="H75" s="207">
        <f>SUM(' H Girl'!Q72:Q106)</f>
        <v>1.8679391035781545</v>
      </c>
      <c r="I75" s="208">
        <f t="shared" si="102"/>
        <v>0.32289130103173019</v>
      </c>
      <c r="J75" s="207">
        <f t="shared" si="103"/>
        <v>1.2302011576211538</v>
      </c>
      <c r="K75" s="327">
        <f t="shared" si="104"/>
        <v>0.31956042309402299</v>
      </c>
      <c r="L75">
        <f t="shared" si="105"/>
        <v>2.0502143883903843</v>
      </c>
      <c r="M75" s="327">
        <f t="shared" si="106"/>
        <v>0.33266305632273918</v>
      </c>
      <c r="P75" s="203" t="s">
        <v>156</v>
      </c>
      <c r="Q75" s="207">
        <f>SUM('H Mother'!H72:H106)</f>
        <v>1.3015090645550527</v>
      </c>
      <c r="R75" s="208">
        <f t="shared" si="107"/>
        <v>0.30665328314016177</v>
      </c>
      <c r="S75" s="207">
        <f>SUM('H Mother'!K72:K106)</f>
        <v>2.3441141568627448</v>
      </c>
      <c r="T75" s="208">
        <f t="shared" si="108"/>
        <v>0.33648959829573921</v>
      </c>
      <c r="U75" s="207">
        <f>SUM('H Mother'!N72:N106)</f>
        <v>1.2819133664493698</v>
      </c>
      <c r="V75" s="208">
        <f t="shared" si="109"/>
        <v>0.30895672873992852</v>
      </c>
      <c r="W75" s="207">
        <f>SUM('H Mother'!Q72:Q106)</f>
        <v>1.9613360587570621</v>
      </c>
      <c r="X75" s="208">
        <f t="shared" si="110"/>
        <v>0.32308224760818705</v>
      </c>
      <c r="Y75" s="207">
        <f t="shared" si="111"/>
        <v>1.2917112155022112</v>
      </c>
      <c r="Z75" s="327">
        <f t="shared" si="112"/>
        <v>0.3077919608629901</v>
      </c>
      <c r="AA75">
        <f t="shared" si="113"/>
        <v>2.1527251078099034</v>
      </c>
      <c r="AB75" s="327">
        <f t="shared" si="114"/>
        <v>0.26089228433682232</v>
      </c>
    </row>
    <row r="76" spans="1:28" ht="17" x14ac:dyDescent="0.2">
      <c r="A76" s="226" t="s">
        <v>525</v>
      </c>
      <c r="B76" s="224">
        <f>SUM(' H Girl'!H72:H78,' H Girl'!H84:H86)</f>
        <v>0.65187965811965831</v>
      </c>
      <c r="C76" s="222">
        <f>B76/$B$75</f>
        <v>0.52590770181046897</v>
      </c>
      <c r="D76" s="224">
        <f>SUM(' H Girl'!K72:K78,' H Girl'!K84:K86)</f>
        <v>1.5142533333333335</v>
      </c>
      <c r="E76" s="222">
        <f>D76/$D$75</f>
        <v>0.67828010651492232</v>
      </c>
      <c r="F76" s="224">
        <f>SUM(' H Girl'!N72:N78,' H Girl'!N84:N86)</f>
        <v>0.62847165811965833</v>
      </c>
      <c r="G76" s="222">
        <f>F76/$F$75</f>
        <v>0.51477366434941862</v>
      </c>
      <c r="H76" s="224">
        <f>SUM(' H Girl'!Q72:Q78,' H Girl'!Q84:Q86)</f>
        <v>1.1955253333333336</v>
      </c>
      <c r="I76" s="222">
        <f>H76/$H$75</f>
        <v>0.64002371974719618</v>
      </c>
      <c r="J76" s="233">
        <f t="shared" si="103"/>
        <v>0.64017565811965826</v>
      </c>
      <c r="K76" s="330">
        <f>J76/$J$75</f>
        <v>0.520382909862944</v>
      </c>
      <c r="L76" s="85">
        <f t="shared" si="105"/>
        <v>1.3548893333333334</v>
      </c>
      <c r="M76" s="330">
        <f>L76/$L$75</f>
        <v>0.66085251425683922</v>
      </c>
      <c r="P76" s="223" t="s">
        <v>525</v>
      </c>
      <c r="Q76" s="224">
        <f>SUM('H Mother'!H72:H78,'H Mother'!H84:H86)</f>
        <v>0.68447364102564112</v>
      </c>
      <c r="R76" s="222">
        <f>Q76/$Q$75</f>
        <v>0.52590770181046897</v>
      </c>
      <c r="S76" s="224">
        <f>SUM('H Mother'!K72:K78,'H Mother'!K84:K86)</f>
        <v>1.589966</v>
      </c>
      <c r="T76" s="222">
        <f>S76/$S$75</f>
        <v>0.67828010651492232</v>
      </c>
      <c r="U76" s="224">
        <f>SUM('H Mother'!N72:N78,'H Mother'!N84:N86)</f>
        <v>0.65989524102564112</v>
      </c>
      <c r="V76" s="222">
        <f>U76/$U$75</f>
        <v>0.51477366434941862</v>
      </c>
      <c r="W76" s="224">
        <f>SUM('H Mother'!Q72:Q78,'H Mother'!Q84:Q86)</f>
        <v>1.2553016000000001</v>
      </c>
      <c r="X76" s="222">
        <f>W76/$W$75</f>
        <v>0.64002371974719618</v>
      </c>
      <c r="Y76" s="233">
        <f t="shared" si="111"/>
        <v>0.67218444102564112</v>
      </c>
      <c r="Z76" s="328">
        <f>Y76/$Y$75</f>
        <v>0.52038290986294411</v>
      </c>
      <c r="AA76" s="85">
        <f t="shared" si="113"/>
        <v>1.4226338000000001</v>
      </c>
      <c r="AB76" s="328">
        <f>AA76/$AA$75</f>
        <v>0.66085251425683922</v>
      </c>
    </row>
    <row r="77" spans="1:28" ht="17" x14ac:dyDescent="0.2">
      <c r="A77" s="226" t="s">
        <v>170</v>
      </c>
      <c r="B77" s="224">
        <f>SUM(' H Girl'!H81)</f>
        <v>4.1392000000000005E-2</v>
      </c>
      <c r="C77" s="222">
        <f t="shared" ref="C77:C79" si="115">B77/$B$75</f>
        <v>3.3393236500322207E-2</v>
      </c>
      <c r="D77" s="224">
        <f>SUM(' H Girl'!K81)</f>
        <v>8.2853333333333334E-2</v>
      </c>
      <c r="E77" s="222">
        <f t="shared" ref="E77:E79" si="116">D77/$D$75</f>
        <v>3.7112527026598167E-2</v>
      </c>
      <c r="F77" s="224">
        <f>SUM(' H Girl'!N81)</f>
        <v>4.1392000000000005E-2</v>
      </c>
      <c r="G77" s="222">
        <f t="shared" ref="G77:G79" si="117">F77/$F$75</f>
        <v>3.3903695161849733E-2</v>
      </c>
      <c r="H77" s="224">
        <f>SUM(' H Girl'!Q81)</f>
        <v>6.6352000000000008E-2</v>
      </c>
      <c r="I77" s="222">
        <f t="shared" ref="I77:I78" si="118">H77/$H$75</f>
        <v>3.5521500606148559E-2</v>
      </c>
      <c r="J77" s="233">
        <f t="shared" si="103"/>
        <v>4.1392000000000005E-2</v>
      </c>
      <c r="K77" s="328">
        <f t="shared" ref="K77:K79" si="119">J77/$J$75</f>
        <v>3.3646529873244409E-2</v>
      </c>
      <c r="L77" s="85">
        <f t="shared" si="105"/>
        <v>7.4602666666666678E-2</v>
      </c>
      <c r="M77" s="328">
        <f t="shared" ref="M77:M79" si="120">L77/$L$75</f>
        <v>3.6387739296492284E-2</v>
      </c>
      <c r="P77" s="223" t="s">
        <v>170</v>
      </c>
      <c r="Q77" s="224">
        <f>SUM('H Mother'!H81)</f>
        <v>4.3461600000000003E-2</v>
      </c>
      <c r="R77" s="222">
        <f t="shared" ref="R77:R79" si="121">Q77/$Q$75</f>
        <v>3.3393236500322214E-2</v>
      </c>
      <c r="S77" s="224">
        <f>SUM('H Mother'!K81)</f>
        <v>8.6996000000000004E-2</v>
      </c>
      <c r="T77" s="222">
        <f t="shared" ref="T77:T79" si="122">S77/$S$75</f>
        <v>3.7112527026598174E-2</v>
      </c>
      <c r="U77" s="224">
        <f>SUM('H Mother'!N81)</f>
        <v>4.3461600000000003E-2</v>
      </c>
      <c r="V77" s="222">
        <f t="shared" ref="V77:V79" si="123">U77/$U$75</f>
        <v>3.3903695161849733E-2</v>
      </c>
      <c r="W77" s="224">
        <f>SUM('H Mother'!Q81)</f>
        <v>6.9669599999999998E-2</v>
      </c>
      <c r="X77" s="222">
        <f t="shared" ref="X77:X79" si="124">W77/$W$75</f>
        <v>3.5521500606148552E-2</v>
      </c>
      <c r="Y77" s="233">
        <f t="shared" si="111"/>
        <v>4.3461600000000003E-2</v>
      </c>
      <c r="Z77" s="328">
        <f t="shared" ref="Z77:Z79" si="125">Y77/$Y$75</f>
        <v>3.3646529873244416E-2</v>
      </c>
      <c r="AA77" s="85">
        <f t="shared" si="113"/>
        <v>7.8332800000000008E-2</v>
      </c>
      <c r="AB77" s="328">
        <f t="shared" ref="AB77:AB79" si="126">AA77/$AA$75</f>
        <v>3.6387739296492284E-2</v>
      </c>
    </row>
    <row r="78" spans="1:28" ht="17" x14ac:dyDescent="0.2">
      <c r="A78" s="223" t="s">
        <v>526</v>
      </c>
      <c r="B78" s="224">
        <f>SUM(' H Girl'!H89:H98)</f>
        <v>0.21766078431372549</v>
      </c>
      <c r="C78" s="222">
        <f t="shared" si="115"/>
        <v>0.17559910242157556</v>
      </c>
      <c r="D78" s="224">
        <f>SUM(' H Girl'!K89:K98)</f>
        <v>0.24178300653594775</v>
      </c>
      <c r="E78" s="222">
        <f t="shared" si="116"/>
        <v>0.10830195966331094</v>
      </c>
      <c r="F78" s="224">
        <f>SUM(' H Girl'!N89:N98)</f>
        <v>0.22240621468926552</v>
      </c>
      <c r="G78" s="222">
        <f t="shared" si="117"/>
        <v>0.18217028664780061</v>
      </c>
      <c r="H78" s="224">
        <f>SUM(' H Girl'!Q89:Q98)</f>
        <v>0.24446177024482113</v>
      </c>
      <c r="I78" s="222">
        <f t="shared" si="118"/>
        <v>0.13087245177133414</v>
      </c>
      <c r="J78" s="233">
        <f t="shared" si="103"/>
        <v>0.22003349950149551</v>
      </c>
      <c r="K78" s="328">
        <f t="shared" si="119"/>
        <v>0.17885977276023329</v>
      </c>
      <c r="L78" s="85">
        <f t="shared" si="105"/>
        <v>0.24312238839038444</v>
      </c>
      <c r="M78" s="328">
        <f t="shared" si="120"/>
        <v>0.11858388555221239</v>
      </c>
      <c r="P78" s="223" t="s">
        <v>526</v>
      </c>
      <c r="Q78" s="224">
        <f>SUM('H Mother'!H89:H98)</f>
        <v>0.22854382352941177</v>
      </c>
      <c r="R78" s="222">
        <f t="shared" si="121"/>
        <v>0.17559910242157561</v>
      </c>
      <c r="S78" s="224">
        <f>SUM('H Mother'!K89:K98)</f>
        <v>0.25387215686274511</v>
      </c>
      <c r="T78" s="222">
        <f t="shared" si="122"/>
        <v>0.10830195966331094</v>
      </c>
      <c r="U78" s="224">
        <f>SUM('H Mother'!N89:N98)</f>
        <v>0.23352652542372881</v>
      </c>
      <c r="V78" s="222">
        <f t="shared" si="123"/>
        <v>0.18217028664780066</v>
      </c>
      <c r="W78" s="224">
        <f>SUM('H Mother'!Q89:Q98)</f>
        <v>0.25668485875706215</v>
      </c>
      <c r="X78" s="222">
        <f t="shared" si="124"/>
        <v>0.13087245177133411</v>
      </c>
      <c r="Y78" s="233">
        <f t="shared" si="111"/>
        <v>0.23103517447657029</v>
      </c>
      <c r="Z78" s="328">
        <f t="shared" si="125"/>
        <v>0.17885977276023335</v>
      </c>
      <c r="AA78" s="85">
        <f t="shared" si="113"/>
        <v>0.25527850780990363</v>
      </c>
      <c r="AB78" s="328">
        <f t="shared" si="126"/>
        <v>0.11858388555221237</v>
      </c>
    </row>
    <row r="79" spans="1:28" ht="17" x14ac:dyDescent="0.2">
      <c r="A79" s="226" t="s">
        <v>205</v>
      </c>
      <c r="B79" s="224">
        <f>SUM(' H Girl'!H102:H106)</f>
        <v>0.3286</v>
      </c>
      <c r="C79" s="222">
        <f t="shared" si="115"/>
        <v>0.26509995926763325</v>
      </c>
      <c r="D79" s="224">
        <f>SUM(' H Girl'!K102:K106)</f>
        <v>0.39360000000000001</v>
      </c>
      <c r="E79" s="222">
        <f t="shared" si="116"/>
        <v>0.17630540679516865</v>
      </c>
      <c r="F79" s="224">
        <f>SUM(' H Girl'!N102:N106)</f>
        <v>0.3286</v>
      </c>
      <c r="G79" s="222">
        <f t="shared" si="117"/>
        <v>0.26915235384093111</v>
      </c>
      <c r="H79" s="224">
        <f>SUM(' H Girl'!Q102:Q106)</f>
        <v>0.36159999999999998</v>
      </c>
      <c r="I79" s="222">
        <f t="shared" si="102"/>
        <v>6.2506049704413452E-2</v>
      </c>
      <c r="J79" s="233">
        <f t="shared" si="103"/>
        <v>0.3286</v>
      </c>
      <c r="K79" s="328">
        <f t="shared" si="119"/>
        <v>0.26711078750357825</v>
      </c>
      <c r="L79" s="85">
        <f t="shared" si="105"/>
        <v>0.37759999999999999</v>
      </c>
      <c r="M79" s="328">
        <f t="shared" si="120"/>
        <v>0.1841758608944562</v>
      </c>
      <c r="P79" s="226" t="s">
        <v>205</v>
      </c>
      <c r="Q79" s="224">
        <f>SUM('H Mother'!H102:H106)</f>
        <v>0.34503</v>
      </c>
      <c r="R79" s="222">
        <f t="shared" si="121"/>
        <v>0.2650999592676333</v>
      </c>
      <c r="S79" s="224">
        <f>SUM('H Mother'!K102:K106)</f>
        <v>0.41327999999999998</v>
      </c>
      <c r="T79" s="222">
        <f t="shared" si="122"/>
        <v>0.17630540679516865</v>
      </c>
      <c r="U79" s="224">
        <f>SUM('H Mother'!N102:N106)</f>
        <v>0.34503</v>
      </c>
      <c r="V79" s="222">
        <f t="shared" si="123"/>
        <v>0.26915235384093111</v>
      </c>
      <c r="W79" s="224">
        <f>SUM('H Mother'!Q102:Q106)</f>
        <v>0.37968000000000002</v>
      </c>
      <c r="X79" s="222">
        <f t="shared" si="124"/>
        <v>0.19358232787532129</v>
      </c>
      <c r="Y79" s="233">
        <f t="shared" si="111"/>
        <v>0.34503</v>
      </c>
      <c r="Z79" s="328">
        <f t="shared" si="125"/>
        <v>0.26711078750357831</v>
      </c>
      <c r="AA79" s="85">
        <f t="shared" si="113"/>
        <v>0.39648</v>
      </c>
      <c r="AB79" s="328">
        <f t="shared" si="126"/>
        <v>0.1841758608944562</v>
      </c>
    </row>
    <row r="80" spans="1:28" ht="17" x14ac:dyDescent="0.2">
      <c r="A80" s="203" t="s">
        <v>413</v>
      </c>
      <c r="B80" s="207">
        <f>SUM(' H Girl'!H109:H117)</f>
        <v>0.28613119999999997</v>
      </c>
      <c r="C80" s="208">
        <f t="shared" si="99"/>
        <v>7.3269668382067416E-2</v>
      </c>
      <c r="D80" s="207">
        <f>SUM(' H Girl'!K109:K117)</f>
        <v>0.44988373333333331</v>
      </c>
      <c r="E80" s="208">
        <f t="shared" si="100"/>
        <v>6.8778709118245643E-2</v>
      </c>
      <c r="F80" s="207">
        <f>SUM(' H Girl'!N109:N117)</f>
        <v>0.21866453333333333</v>
      </c>
      <c r="G80" s="208">
        <f t="shared" si="101"/>
        <v>5.7631956916302567E-2</v>
      </c>
      <c r="H80" s="207">
        <f>SUM(' H Girl'!Q109:Q117)</f>
        <v>0.29777706666666665</v>
      </c>
      <c r="I80" s="208">
        <f t="shared" si="102"/>
        <v>5.1473639739770753E-2</v>
      </c>
      <c r="J80" s="207">
        <f t="shared" si="103"/>
        <v>0.25239786666666664</v>
      </c>
      <c r="K80" s="327">
        <f t="shared" si="104"/>
        <v>6.5563561341459339E-2</v>
      </c>
      <c r="L80">
        <f t="shared" si="105"/>
        <v>0.37383040000000001</v>
      </c>
      <c r="M80" s="327">
        <f t="shared" si="106"/>
        <v>6.0656858187394899E-2</v>
      </c>
      <c r="P80" s="203" t="s">
        <v>413</v>
      </c>
      <c r="Q80" s="207">
        <f>SUM('H Mother'!H109:H117)</f>
        <v>0.30043776</v>
      </c>
      <c r="R80" s="208">
        <f>Q80/$Q$84</f>
        <v>7.078723306070292E-2</v>
      </c>
      <c r="S80" s="207">
        <f>SUM('H Mother'!K109:K117)</f>
        <v>0.47237792000000006</v>
      </c>
      <c r="T80" s="208">
        <f>S80/$S$84</f>
        <v>6.7808240515602108E-2</v>
      </c>
      <c r="U80" s="207">
        <f>SUM('H Mother'!N109:N117)</f>
        <v>0.22959776000000001</v>
      </c>
      <c r="V80" s="208">
        <f>U80/$U$84</f>
        <v>5.5335855536082265E-2</v>
      </c>
      <c r="W80" s="207">
        <f>SUM('H Mother'!Q109:Q117)</f>
        <v>0.31266592000000004</v>
      </c>
      <c r="X80" s="208">
        <f>W80/$W$84</f>
        <v>5.1504079442713138E-2</v>
      </c>
      <c r="Y80" s="207">
        <f t="shared" si="111"/>
        <v>0.26501775999999999</v>
      </c>
      <c r="Z80" s="327">
        <f>Y80/$Y$84</f>
        <v>6.3149049907570198E-2</v>
      </c>
      <c r="AA80">
        <f t="shared" si="113"/>
        <v>0.39252192000000008</v>
      </c>
      <c r="AB80" s="327">
        <f t="shared" ref="AB80:AB82" si="127">AA80/$AA$22</f>
        <v>4.7570374865585678E-2</v>
      </c>
    </row>
    <row r="81" spans="1:28" ht="34" x14ac:dyDescent="0.2">
      <c r="A81" s="203" t="s">
        <v>414</v>
      </c>
      <c r="B81" s="207">
        <f>SUM(' H Girl'!H120:H122)</f>
        <v>9.1346666666666687E-2</v>
      </c>
      <c r="C81" s="208">
        <f t="shared" si="99"/>
        <v>2.3391157533585713E-2</v>
      </c>
      <c r="D81" s="207">
        <f>SUM(' H Girl'!K120:K122)</f>
        <v>0.251224</v>
      </c>
      <c r="E81" s="208">
        <f t="shared" si="100"/>
        <v>3.8407395376350899E-2</v>
      </c>
      <c r="F81" s="207">
        <f>SUM(' H Girl'!N120:N122)</f>
        <v>9.3826666666666669E-2</v>
      </c>
      <c r="G81" s="208">
        <f t="shared" si="101"/>
        <v>2.4729270579470358E-2</v>
      </c>
      <c r="H81" s="207">
        <f>SUM(' H Girl'!Q120:Q122)</f>
        <v>0.20617066666666667</v>
      </c>
      <c r="I81" s="208">
        <f t="shared" si="102"/>
        <v>3.5638589431025235E-2</v>
      </c>
      <c r="J81" s="207">
        <f t="shared" si="103"/>
        <v>9.2586666666666678E-2</v>
      </c>
      <c r="K81" s="327">
        <f t="shared" si="104"/>
        <v>2.40505661936442E-2</v>
      </c>
      <c r="L81">
        <f t="shared" si="105"/>
        <v>0.22869733333333334</v>
      </c>
      <c r="M81" s="327">
        <f t="shared" si="106"/>
        <v>3.7107901646937703E-2</v>
      </c>
      <c r="P81" s="203" t="s">
        <v>414</v>
      </c>
      <c r="Q81" s="207">
        <f>SUM('H Mother'!H120:H122)</f>
        <v>9.5914000000000013E-2</v>
      </c>
      <c r="R81" s="208">
        <f t="shared" ref="R81:R82" si="128">Q81/$Q$84</f>
        <v>2.2598646294607779E-2</v>
      </c>
      <c r="S81" s="207">
        <f>SUM('H Mother'!K120:K122)</f>
        <v>0.2637852</v>
      </c>
      <c r="T81" s="208">
        <f t="shared" ref="T81:T82" si="129">S81/$S$84</f>
        <v>3.7865466459685929E-2</v>
      </c>
      <c r="U81" s="207">
        <f>SUM('H Mother'!N120:N122)</f>
        <v>9.8518000000000022E-2</v>
      </c>
      <c r="V81" s="208">
        <f t="shared" ref="V81:V82" si="130">U81/$U$84</f>
        <v>2.3744037466671076E-2</v>
      </c>
      <c r="W81" s="207">
        <f>SUM('H Mother'!Q120:Q122)</f>
        <v>0.21647919999999998</v>
      </c>
      <c r="X81" s="208">
        <f t="shared" ref="X81:X82" si="131">W81/$W$84</f>
        <v>3.5659664841294451E-2</v>
      </c>
      <c r="Y81" s="207">
        <f t="shared" si="111"/>
        <v>9.7216000000000025E-2</v>
      </c>
      <c r="Z81" s="327">
        <f t="shared" ref="Z81:Z82" si="132">Y81/$Y$84</f>
        <v>2.3164855199947151E-2</v>
      </c>
      <c r="AA81">
        <f t="shared" si="113"/>
        <v>0.24013219999999999</v>
      </c>
      <c r="AB81" s="327">
        <f t="shared" si="127"/>
        <v>2.9102014917530696E-2</v>
      </c>
    </row>
    <row r="82" spans="1:28" ht="17" x14ac:dyDescent="0.2">
      <c r="A82" s="212" t="s">
        <v>618</v>
      </c>
      <c r="B82" s="209">
        <f>SUM(' H Girl'!H125:H128)</f>
        <v>0.24696960000000001</v>
      </c>
      <c r="C82" s="211">
        <f t="shared" si="99"/>
        <v>6.3241550353305892E-2</v>
      </c>
      <c r="D82" s="209">
        <f>SUM(' H Girl'!K125:K128)</f>
        <v>0.58957142857142864</v>
      </c>
      <c r="E82" s="211">
        <f t="shared" si="100"/>
        <v>9.0134314236469767E-2</v>
      </c>
      <c r="F82" s="209">
        <f>SUM(' H Girl'!N125:N128)</f>
        <v>0.24721499999999999</v>
      </c>
      <c r="G82" s="211">
        <f t="shared" si="101"/>
        <v>6.5156813553045659E-2</v>
      </c>
      <c r="H82" s="209">
        <f>SUM(' H Girl'!Q125:Q128)</f>
        <v>0.61614285714285721</v>
      </c>
      <c r="I82" s="211">
        <f t="shared" si="102"/>
        <v>0.1065062390862576</v>
      </c>
      <c r="J82" s="209">
        <f>(B82+F82)/2</f>
        <v>0.24709229999999999</v>
      </c>
      <c r="K82" s="329">
        <f t="shared" si="104"/>
        <v>6.4185372808429467E-2</v>
      </c>
      <c r="L82" s="210">
        <f>(D82+H82)/2</f>
        <v>0.60285714285714298</v>
      </c>
      <c r="M82" s="329">
        <f t="shared" si="106"/>
        <v>9.7818209063639E-2</v>
      </c>
      <c r="P82" s="216" t="s">
        <v>619</v>
      </c>
      <c r="Q82" s="209">
        <f>SUM('H Mother'!H125:H129)</f>
        <v>0.40311622857142854</v>
      </c>
      <c r="R82" s="211">
        <f t="shared" si="128"/>
        <v>9.4979680391829913E-2</v>
      </c>
      <c r="S82" s="209">
        <f>SUM('H Mother'!K125:K129)</f>
        <v>0.71734571428571425</v>
      </c>
      <c r="T82" s="211">
        <f t="shared" si="129"/>
        <v>0.10297253251617286</v>
      </c>
      <c r="U82" s="209">
        <f>SUM('H Mother'!N125:N129)</f>
        <v>0.4248817857142857</v>
      </c>
      <c r="V82" s="211">
        <f t="shared" si="130"/>
        <v>0.10240168333610211</v>
      </c>
      <c r="W82" s="209">
        <f>SUM('H Mother'!Q125:Q129)</f>
        <v>0.64336000000000004</v>
      </c>
      <c r="X82" s="211">
        <f t="shared" si="131"/>
        <v>0.10597785825287234</v>
      </c>
      <c r="Y82" s="209">
        <f>(Q82+U82)/2</f>
        <v>0.41399900714285709</v>
      </c>
      <c r="Z82" s="329">
        <f t="shared" si="132"/>
        <v>9.8648648919788598E-2</v>
      </c>
      <c r="AA82" s="210">
        <f>(S82+W82)/2</f>
        <v>0.6803528571428572</v>
      </c>
      <c r="AB82" s="329">
        <f t="shared" si="127"/>
        <v>8.2453077920229198E-2</v>
      </c>
    </row>
    <row r="83" spans="1:28" x14ac:dyDescent="0.2">
      <c r="C83" s="83"/>
      <c r="E83" s="83"/>
      <c r="G83" s="83"/>
      <c r="I83" s="83"/>
      <c r="R83" s="83"/>
      <c r="T83" s="83"/>
      <c r="V83" s="83"/>
      <c r="X83" s="83"/>
    </row>
    <row r="84" spans="1:28" ht="18" thickBot="1" x14ac:dyDescent="0.25">
      <c r="A84" s="213" t="s">
        <v>527</v>
      </c>
      <c r="B84" s="214">
        <f>SUM(B70:B75,B80:B82)</f>
        <v>3.9051794053162379</v>
      </c>
      <c r="C84" s="214">
        <f>SUM(C70:C75,C80:C82)</f>
        <v>1</v>
      </c>
      <c r="D84" s="214">
        <f>SUM(D70:D75,D80:D82)</f>
        <v>6.5410319428921637</v>
      </c>
      <c r="E84" s="214">
        <f t="shared" ref="E84:M84" si="133">SUM(E70:E75,E80:E82)</f>
        <v>1</v>
      </c>
      <c r="F84" s="214">
        <f t="shared" si="133"/>
        <v>3.7941542337508043</v>
      </c>
      <c r="G84" s="214">
        <f t="shared" si="133"/>
        <v>0.99999999999999989</v>
      </c>
      <c r="H84" s="214">
        <f t="shared" si="133"/>
        <v>5.7850400354842453</v>
      </c>
      <c r="I84" s="214">
        <f>SUM(I70:I75,I80:I82)</f>
        <v>0.99999999999999978</v>
      </c>
      <c r="J84" s="227">
        <f t="shared" si="133"/>
        <v>3.8496668195335206</v>
      </c>
      <c r="K84" s="214">
        <f t="shared" si="133"/>
        <v>1</v>
      </c>
      <c r="L84" s="227">
        <f t="shared" si="133"/>
        <v>6.1630359891882049</v>
      </c>
      <c r="M84" s="214">
        <f t="shared" si="133"/>
        <v>0.99999999999999978</v>
      </c>
      <c r="P84" s="213" t="s">
        <v>527</v>
      </c>
      <c r="Q84" s="214">
        <f>SUM(Q70:Q75,Q80:Q82)</f>
        <v>4.2442365241534787</v>
      </c>
      <c r="R84" s="214">
        <f>SUM(R70:R75,R80:R82)</f>
        <v>1</v>
      </c>
      <c r="S84" s="214">
        <f>SUM(S70:S75,S80:S82)</f>
        <v>6.9663792543224865</v>
      </c>
      <c r="T84" s="214">
        <f t="shared" ref="T84:AB84" si="134">SUM(T70:T75,T80:T82)</f>
        <v>0.99999999999999989</v>
      </c>
      <c r="U84" s="214">
        <f t="shared" si="134"/>
        <v>4.1491679811526296</v>
      </c>
      <c r="V84" s="214">
        <f t="shared" si="134"/>
        <v>1</v>
      </c>
      <c r="W84" s="214">
        <f t="shared" si="134"/>
        <v>6.0707020372584566</v>
      </c>
      <c r="X84" s="214">
        <f t="shared" si="134"/>
        <v>1</v>
      </c>
      <c r="Y84" s="227">
        <f t="shared" si="134"/>
        <v>4.1967022526530542</v>
      </c>
      <c r="Z84" s="214">
        <f t="shared" si="134"/>
        <v>1</v>
      </c>
      <c r="AA84" s="227">
        <f t="shared" si="134"/>
        <v>6.5185406457904715</v>
      </c>
      <c r="AB84" s="214">
        <f t="shared" si="134"/>
        <v>0.78999262537187631</v>
      </c>
    </row>
    <row r="85" spans="1:28" ht="17" thickTop="1" x14ac:dyDescent="0.2"/>
    <row r="86" spans="1:28" x14ac:dyDescent="0.2">
      <c r="A86" s="463" t="s">
        <v>528</v>
      </c>
      <c r="B86" s="458" t="s">
        <v>427</v>
      </c>
      <c r="C86" s="459"/>
      <c r="D86" s="459"/>
      <c r="E86" s="460"/>
      <c r="F86" s="458" t="s">
        <v>519</v>
      </c>
      <c r="G86" s="459"/>
      <c r="H86" s="459"/>
      <c r="I86" s="460"/>
      <c r="J86" s="458" t="s">
        <v>490</v>
      </c>
      <c r="K86" s="459"/>
      <c r="L86" s="459"/>
      <c r="M86" s="460"/>
      <c r="P86" s="463" t="s">
        <v>528</v>
      </c>
      <c r="Q86" s="458" t="s">
        <v>427</v>
      </c>
      <c r="R86" s="459"/>
      <c r="S86" s="459"/>
      <c r="T86" s="460"/>
      <c r="U86" s="458" t="s">
        <v>519</v>
      </c>
      <c r="V86" s="459"/>
      <c r="W86" s="459"/>
      <c r="X86" s="460"/>
      <c r="Y86" s="458" t="s">
        <v>490</v>
      </c>
      <c r="Z86" s="459"/>
      <c r="AA86" s="459"/>
      <c r="AB86" s="460"/>
    </row>
    <row r="87" spans="1:28" x14ac:dyDescent="0.2">
      <c r="A87" s="464"/>
      <c r="B87" s="453" t="s">
        <v>483</v>
      </c>
      <c r="C87" s="454"/>
      <c r="D87" s="454" t="s">
        <v>485</v>
      </c>
      <c r="E87" s="461"/>
      <c r="F87" s="454" t="s">
        <v>520</v>
      </c>
      <c r="G87" s="454"/>
      <c r="H87" s="454" t="s">
        <v>485</v>
      </c>
      <c r="I87" s="461"/>
      <c r="J87" s="453" t="s">
        <v>483</v>
      </c>
      <c r="K87" s="454"/>
      <c r="L87" s="454" t="s">
        <v>485</v>
      </c>
      <c r="M87" s="461"/>
      <c r="P87" s="464"/>
      <c r="Q87" s="453" t="s">
        <v>483</v>
      </c>
      <c r="R87" s="454"/>
      <c r="S87" s="454" t="s">
        <v>485</v>
      </c>
      <c r="T87" s="461"/>
      <c r="U87" s="454" t="s">
        <v>520</v>
      </c>
      <c r="V87" s="454"/>
      <c r="W87" s="454" t="s">
        <v>485</v>
      </c>
      <c r="X87" s="461"/>
      <c r="Y87" s="453" t="s">
        <v>483</v>
      </c>
      <c r="Z87" s="454"/>
      <c r="AA87" s="454" t="s">
        <v>485</v>
      </c>
      <c r="AB87" s="461"/>
    </row>
    <row r="88" spans="1:28" x14ac:dyDescent="0.2">
      <c r="A88" s="465"/>
      <c r="B88" s="455" t="s">
        <v>521</v>
      </c>
      <c r="C88" s="456"/>
      <c r="D88" s="456" t="s">
        <v>522</v>
      </c>
      <c r="E88" s="456"/>
      <c r="F88" s="455" t="s">
        <v>521</v>
      </c>
      <c r="G88" s="456"/>
      <c r="H88" s="456" t="s">
        <v>522</v>
      </c>
      <c r="I88" s="456"/>
      <c r="J88" s="455" t="s">
        <v>521</v>
      </c>
      <c r="K88" s="456"/>
      <c r="L88" s="456" t="s">
        <v>522</v>
      </c>
      <c r="M88" s="457"/>
      <c r="P88" s="465"/>
      <c r="Q88" s="455" t="s">
        <v>521</v>
      </c>
      <c r="R88" s="456"/>
      <c r="S88" s="456" t="s">
        <v>522</v>
      </c>
      <c r="T88" s="456"/>
      <c r="U88" s="455" t="s">
        <v>521</v>
      </c>
      <c r="V88" s="456"/>
      <c r="W88" s="456" t="s">
        <v>522</v>
      </c>
      <c r="X88" s="456"/>
      <c r="Y88" s="455" t="s">
        <v>521</v>
      </c>
      <c r="Z88" s="456"/>
      <c r="AA88" s="456" t="s">
        <v>522</v>
      </c>
      <c r="AB88" s="457"/>
    </row>
    <row r="89" spans="1:28" x14ac:dyDescent="0.2">
      <c r="A89" s="202"/>
      <c r="B89" s="199" t="s">
        <v>523</v>
      </c>
      <c r="C89" s="219" t="s">
        <v>386</v>
      </c>
      <c r="D89" s="199" t="s">
        <v>523</v>
      </c>
      <c r="E89" s="219" t="s">
        <v>386</v>
      </c>
      <c r="F89" s="199" t="s">
        <v>523</v>
      </c>
      <c r="G89" s="200" t="s">
        <v>386</v>
      </c>
      <c r="H89" s="199" t="s">
        <v>523</v>
      </c>
      <c r="I89" s="219" t="s">
        <v>386</v>
      </c>
      <c r="J89" s="199" t="s">
        <v>523</v>
      </c>
      <c r="K89" s="219" t="s">
        <v>386</v>
      </c>
      <c r="L89" s="199" t="s">
        <v>523</v>
      </c>
      <c r="M89" s="219" t="s">
        <v>386</v>
      </c>
      <c r="P89" s="202"/>
      <c r="Q89" s="345" t="s">
        <v>523</v>
      </c>
      <c r="R89" s="347" t="s">
        <v>386</v>
      </c>
      <c r="S89" s="345" t="s">
        <v>523</v>
      </c>
      <c r="T89" s="347" t="s">
        <v>386</v>
      </c>
      <c r="U89" s="345" t="s">
        <v>523</v>
      </c>
      <c r="V89" s="347" t="s">
        <v>386</v>
      </c>
      <c r="W89" s="345" t="s">
        <v>523</v>
      </c>
      <c r="X89" s="347" t="s">
        <v>386</v>
      </c>
      <c r="Y89" s="345" t="s">
        <v>523</v>
      </c>
      <c r="Z89" s="347" t="s">
        <v>386</v>
      </c>
      <c r="AA89" s="345" t="s">
        <v>523</v>
      </c>
      <c r="AB89" s="347" t="s">
        <v>386</v>
      </c>
    </row>
    <row r="90" spans="1:28" ht="17" x14ac:dyDescent="0.2">
      <c r="A90" s="203" t="s">
        <v>390</v>
      </c>
      <c r="B90" s="207">
        <f>SUM('M Girl '!H12:H16)</f>
        <v>0.44588800000000006</v>
      </c>
      <c r="C90" s="217">
        <f>B90/$B$104</f>
        <v>0.12270523565279695</v>
      </c>
      <c r="D90">
        <f>SUM('M Girl '!K12:K16)</f>
        <v>0.62572800000000006</v>
      </c>
      <c r="E90" s="217">
        <f>D90/$D$104</f>
        <v>0.10710988662286354</v>
      </c>
      <c r="F90" s="207">
        <f>SUM('M Girl '!N12:N16)</f>
        <v>0.52052799999999999</v>
      </c>
      <c r="G90" s="217">
        <f>F90/$F$104</f>
        <v>0.14724267682373515</v>
      </c>
      <c r="H90">
        <f>SUM('M Girl '!Q12:Q16)</f>
        <v>0.66316799999999998</v>
      </c>
      <c r="I90" s="217">
        <f>H90/$H$104</f>
        <v>0.12642172977814733</v>
      </c>
      <c r="J90" s="207">
        <f>(B90+F90)/2</f>
        <v>0.48320800000000003</v>
      </c>
      <c r="K90" s="217">
        <f>J90/$J$104</f>
        <v>0.13480514202545349</v>
      </c>
      <c r="L90">
        <f>(D90+H90)/2</f>
        <v>0.64444800000000002</v>
      </c>
      <c r="M90" s="217">
        <f>L90/$L$104</f>
        <v>0.11624655300186901</v>
      </c>
      <c r="P90" s="203" t="s">
        <v>390</v>
      </c>
      <c r="Q90" s="207">
        <f>SUM('M Mother '!H12:H16)</f>
        <v>0.46818240000000005</v>
      </c>
      <c r="R90" s="217">
        <f>Q90/$Q$104</f>
        <v>0.11824869708948638</v>
      </c>
      <c r="S90">
        <f>SUM('M Mother '!K12:K16)</f>
        <v>0.6570144</v>
      </c>
      <c r="T90" s="217">
        <f>S90/$S$104</f>
        <v>0.10624384281291467</v>
      </c>
      <c r="U90" s="207">
        <f>SUM('M Mother '!N12:N16)</f>
        <v>0.5465544</v>
      </c>
      <c r="V90" s="217">
        <f>U90/$U$104</f>
        <v>0.1416426267500584</v>
      </c>
      <c r="W90">
        <f>SUM('M Mother '!Q12:Q16)</f>
        <v>0.69632640000000001</v>
      </c>
      <c r="X90" s="217">
        <f>W90/$W$104</f>
        <v>0.12645375207845622</v>
      </c>
      <c r="Y90" s="207">
        <f>(Q90+U90)/2</f>
        <v>0.50736840000000005</v>
      </c>
      <c r="Z90" s="217">
        <f>Y90/$Y$104</f>
        <v>0.1297951227989983</v>
      </c>
      <c r="AA90">
        <f>(S90+W90)/2</f>
        <v>0.67667040000000001</v>
      </c>
      <c r="AB90" s="217">
        <f>AA90/$AA$104</f>
        <v>0.11576322938131049</v>
      </c>
    </row>
    <row r="91" spans="1:28" ht="34" x14ac:dyDescent="0.2">
      <c r="A91" s="9" t="s">
        <v>39</v>
      </c>
      <c r="B91" s="207">
        <f>SUM('M Girl '!H19)</f>
        <v>3.6799999999999999E-2</v>
      </c>
      <c r="C91" s="217">
        <f t="shared" ref="C91:C95" si="135">B91/$B$104</f>
        <v>1.0127100689013669E-2</v>
      </c>
      <c r="D91">
        <f>SUM('M Girl '!K19)</f>
        <v>6.1200000000000004E-2</v>
      </c>
      <c r="E91" s="217">
        <f t="shared" ref="E91:E95" si="136">D91/$D$104</f>
        <v>1.0475997656041042E-2</v>
      </c>
      <c r="F91" s="207">
        <f>SUM('M Girl '!N19)</f>
        <v>3.8399999999999997E-2</v>
      </c>
      <c r="G91" s="217">
        <f t="shared" ref="G91:G95" si="137">F91/$F$104</f>
        <v>1.0862275977529413E-2</v>
      </c>
      <c r="H91">
        <f>SUM('M Girl '!Q19)</f>
        <v>5.8399999999999994E-2</v>
      </c>
      <c r="I91" s="217">
        <f t="shared" ref="I91:I95" si="138">H91/$H$104</f>
        <v>1.1132969351723551E-2</v>
      </c>
      <c r="J91" s="207">
        <f>(B91+F91)/2</f>
        <v>3.7599999999999995E-2</v>
      </c>
      <c r="K91" s="217">
        <f t="shared" ref="K91:K95" si="139">J91/$J$104</f>
        <v>1.0489630428629184E-2</v>
      </c>
      <c r="L91">
        <f>(D91+H91)/2</f>
        <v>5.9799999999999999E-2</v>
      </c>
      <c r="M91" s="217">
        <f t="shared" ref="M91:M95" si="140">L91/$L$104</f>
        <v>1.0786818904724301E-2</v>
      </c>
      <c r="P91" s="203" t="s">
        <v>39</v>
      </c>
      <c r="Q91" s="207">
        <f>SUM('M Mother '!H19)</f>
        <v>3.8640000000000001E-2</v>
      </c>
      <c r="R91" s="217">
        <f t="shared" ref="R91:R95" si="141">Q91/$Q$104</f>
        <v>9.7592939323173037E-3</v>
      </c>
      <c r="S91">
        <f>SUM('M Mother '!K19)</f>
        <v>6.4260000000000012E-2</v>
      </c>
      <c r="T91" s="217">
        <f t="shared" ref="T91:T95" si="142">S91/$S$104</f>
        <v>1.0391293309793359E-2</v>
      </c>
      <c r="U91" s="207">
        <f>SUM('M Mother '!N19)</f>
        <v>4.0319999999999995E-2</v>
      </c>
      <c r="V91" s="217">
        <f t="shared" ref="V91:V95" si="143">U91/$U$104</f>
        <v>1.0449153296656938E-2</v>
      </c>
      <c r="W91">
        <f>SUM('M Mother '!Q19)</f>
        <v>6.132E-2</v>
      </c>
      <c r="X91" s="217">
        <f t="shared" ref="X91:X95" si="144">W91/$W$104</f>
        <v>1.1135789304341951E-2</v>
      </c>
      <c r="Y91" s="207">
        <f>(Q91+U91)/2</f>
        <v>3.9480000000000001E-2</v>
      </c>
      <c r="Z91" s="217">
        <f t="shared" ref="Z91:Z95" si="145">Y91/$Y$104</f>
        <v>1.0099784393557919E-2</v>
      </c>
      <c r="AA91">
        <f>(S91+W91)/2</f>
        <v>6.2790000000000012E-2</v>
      </c>
      <c r="AB91" s="217">
        <f t="shared" ref="AB91:AB95" si="146">AA91/$AA$104</f>
        <v>1.0741970053444761E-2</v>
      </c>
    </row>
    <row r="92" spans="1:28" ht="17" x14ac:dyDescent="0.2">
      <c r="A92" s="203" t="s">
        <v>524</v>
      </c>
      <c r="B92" s="207">
        <f>SUM('M Girl '!H24:H31,'M Girl '!H34:H39,'M Girl '!H42:H46)</f>
        <v>0.60761498495443078</v>
      </c>
      <c r="C92" s="217">
        <f t="shared" si="135"/>
        <v>0.16721136230399583</v>
      </c>
      <c r="D92">
        <f>SUM('M Girl '!K24:K31,'M Girl '!K34:K39,'M Girl '!K42:K46)</f>
        <v>0.98081255248313215</v>
      </c>
      <c r="E92" s="217">
        <f t="shared" si="136"/>
        <v>0.16789199347759676</v>
      </c>
      <c r="F92" s="207">
        <f>SUM('M Girl '!N24:N31,'M Girl '!N34:N39,'M Girl '!N42:N46)</f>
        <v>0.53961249492115748</v>
      </c>
      <c r="G92" s="217">
        <f t="shared" si="137"/>
        <v>0.15264114168637505</v>
      </c>
      <c r="H92">
        <f>SUM('M Girl '!Q24:Q31,'M Girl '!Q34:Q40,'M Girl '!Q42:Q46)</f>
        <v>0.79054066049638338</v>
      </c>
      <c r="I92" s="217">
        <f t="shared" si="138"/>
        <v>0.15070316685954674</v>
      </c>
      <c r="J92" s="207">
        <f t="shared" ref="J92:J102" si="147">(B92+F92)/2</f>
        <v>0.57361373993779408</v>
      </c>
      <c r="K92" s="217">
        <f t="shared" si="139"/>
        <v>0.16002649310455513</v>
      </c>
      <c r="L92">
        <f t="shared" ref="L92:L102" si="148">(D92+H92)/2</f>
        <v>0.88567660648975777</v>
      </c>
      <c r="M92" s="217">
        <f t="shared" si="140"/>
        <v>0.15975975187885927</v>
      </c>
      <c r="P92" s="203" t="s">
        <v>524</v>
      </c>
      <c r="Q92" s="207">
        <f>SUM('M Mother '!H24:H46)</f>
        <v>0.6379957342021525</v>
      </c>
      <c r="R92" s="217">
        <f t="shared" si="141"/>
        <v>0.16113840314812086</v>
      </c>
      <c r="S92">
        <f>SUM('M Mother '!K24:K46)</f>
        <v>1.0298531801072888</v>
      </c>
      <c r="T92" s="217">
        <f t="shared" si="142"/>
        <v>0.16653449207155746</v>
      </c>
      <c r="U92" s="207">
        <f>SUM('M Mother '!N24:N46)</f>
        <v>0.56659311966721537</v>
      </c>
      <c r="V92" s="217">
        <f t="shared" si="143"/>
        <v>0.14683577292246586</v>
      </c>
      <c r="W92">
        <f>SUM('M Mother '!Q24:Q46)</f>
        <v>0.83006769352120258</v>
      </c>
      <c r="X92" s="217">
        <f t="shared" si="144"/>
        <v>0.15074133958566863</v>
      </c>
      <c r="Y92" s="207">
        <f t="shared" ref="Y92:Y102" si="149">(Q92+U92)/2</f>
        <v>0.60229442693468394</v>
      </c>
      <c r="Z92" s="217">
        <f t="shared" si="145"/>
        <v>0.15407912496154588</v>
      </c>
      <c r="AA92">
        <f t="shared" ref="AA92:AA102" si="150">(S92+W92)/2</f>
        <v>0.92996043681424567</v>
      </c>
      <c r="AB92" s="217">
        <f t="shared" si="146"/>
        <v>0.15909551143728354</v>
      </c>
    </row>
    <row r="93" spans="1:28" ht="17" x14ac:dyDescent="0.2">
      <c r="A93" s="203" t="s">
        <v>399</v>
      </c>
      <c r="B93" s="207">
        <f>SUM('M Girl '!H49:H58)</f>
        <v>0.37433651126175727</v>
      </c>
      <c r="C93" s="217">
        <f t="shared" si="135"/>
        <v>0.10301477013918248</v>
      </c>
      <c r="D93">
        <f>SUM('M Girl '!K49:K58)</f>
        <v>0.5633225553016552</v>
      </c>
      <c r="E93" s="217">
        <f t="shared" si="136"/>
        <v>9.6427545244039042E-2</v>
      </c>
      <c r="F93" s="207">
        <f>SUM('M Girl '!N49:N58)</f>
        <v>0.32007766602072246</v>
      </c>
      <c r="G93" s="217">
        <f t="shared" si="137"/>
        <v>9.0540936004181671E-2</v>
      </c>
      <c r="H93">
        <f>SUM('M Girl '!Q49:Q58)</f>
        <v>0.51282168093351588</v>
      </c>
      <c r="I93" s="217">
        <f t="shared" si="138"/>
        <v>9.7760754396099075E-2</v>
      </c>
      <c r="J93" s="207">
        <f t="shared" si="147"/>
        <v>0.34720708864123984</v>
      </c>
      <c r="K93" s="217">
        <f t="shared" si="139"/>
        <v>9.6863671331034573E-2</v>
      </c>
      <c r="L93">
        <f t="shared" si="148"/>
        <v>0.5380721181175856</v>
      </c>
      <c r="M93" s="217">
        <f t="shared" si="140"/>
        <v>9.7058302605615709E-2</v>
      </c>
      <c r="P93" s="203" t="s">
        <v>399</v>
      </c>
      <c r="Q93" s="207">
        <f>SUM('M Mother '!H49:H58)</f>
        <v>0.39305333682484517</v>
      </c>
      <c r="R93" s="217">
        <f t="shared" si="141"/>
        <v>9.9273370733741748E-2</v>
      </c>
      <c r="S93">
        <f>SUM('M Mother '!K49:K58)</f>
        <v>0.59148868306673807</v>
      </c>
      <c r="T93" s="217">
        <f>S93/$S$104</f>
        <v>9.5647874185650156E-2</v>
      </c>
      <c r="U93" s="207">
        <f>SUM('M Mother '!N49:N58)</f>
        <v>0.3360815493217586</v>
      </c>
      <c r="V93" s="217">
        <f t="shared" si="143"/>
        <v>8.7097411434549243E-2</v>
      </c>
      <c r="W93">
        <f>SUM('M Mother '!Q49:Q58)</f>
        <v>0.53846276498019174</v>
      </c>
      <c r="X93" s="217">
        <f t="shared" si="144"/>
        <v>9.7785516944762105E-2</v>
      </c>
      <c r="Y93" s="207">
        <f t="shared" si="149"/>
        <v>0.36456744307330191</v>
      </c>
      <c r="Z93" s="217">
        <f t="shared" si="145"/>
        <v>9.3263742957220105E-2</v>
      </c>
      <c r="AA93">
        <f t="shared" si="150"/>
        <v>0.56497572402346496</v>
      </c>
      <c r="AB93" s="217">
        <f t="shared" si="146"/>
        <v>9.665475885305512E-2</v>
      </c>
    </row>
    <row r="94" spans="1:28" ht="17" x14ac:dyDescent="0.2">
      <c r="A94" s="9" t="s">
        <v>400</v>
      </c>
      <c r="B94" s="207">
        <f>SUM('M Girl '!H61:H69)</f>
        <v>0.57655999999999996</v>
      </c>
      <c r="C94" s="217">
        <f t="shared" si="135"/>
        <v>0.15866524927330763</v>
      </c>
      <c r="D94">
        <f>SUM('M Girl '!K61:K69)</f>
        <v>0.78680000000000017</v>
      </c>
      <c r="E94" s="217">
        <f t="shared" si="136"/>
        <v>0.13468161692439692</v>
      </c>
      <c r="F94" s="207">
        <f>SUM('M Girl '!N61:N69)</f>
        <v>0.59496000000000004</v>
      </c>
      <c r="G94" s="217">
        <f t="shared" si="137"/>
        <v>0.16829738842684636</v>
      </c>
      <c r="H94">
        <f>SUM('M Girl '!Q61:Q69)</f>
        <v>0.7720800000000001</v>
      </c>
      <c r="I94" s="217">
        <f t="shared" si="138"/>
        <v>0.14718395508696439</v>
      </c>
      <c r="J94" s="207">
        <f t="shared" si="147"/>
        <v>0.58576000000000006</v>
      </c>
      <c r="K94" s="217">
        <f t="shared" si="139"/>
        <v>0.16341505106047427</v>
      </c>
      <c r="L94">
        <f t="shared" si="148"/>
        <v>0.77944000000000013</v>
      </c>
      <c r="M94" s="217">
        <f t="shared" si="140"/>
        <v>0.1405966241989684</v>
      </c>
      <c r="P94" s="203" t="s">
        <v>400</v>
      </c>
      <c r="Q94" s="207">
        <f>SUM('M Mother '!H61:H69)</f>
        <v>0.60538799999999993</v>
      </c>
      <c r="R94" s="217">
        <f t="shared" si="141"/>
        <v>0.15290267689176262</v>
      </c>
      <c r="S94">
        <f>SUM('M Mother '!K61:K69)</f>
        <v>0.82613999999999999</v>
      </c>
      <c r="T94" s="217">
        <f t="shared" si="142"/>
        <v>0.13359264013309499</v>
      </c>
      <c r="U94" s="207">
        <f>SUM('M Mother '!N61:N69)</f>
        <v>0.62470800000000004</v>
      </c>
      <c r="V94" s="217">
        <f t="shared" si="143"/>
        <v>0.16189656889007845</v>
      </c>
      <c r="W94">
        <f>SUM('M Mother '!Q61:Q69)</f>
        <v>0.81068399999999996</v>
      </c>
      <c r="X94" s="217">
        <f t="shared" si="144"/>
        <v>0.14722123640575913</v>
      </c>
      <c r="Y94" s="207">
        <f t="shared" si="149"/>
        <v>0.61504800000000004</v>
      </c>
      <c r="Z94" s="217">
        <f t="shared" si="145"/>
        <v>0.15734174750985339</v>
      </c>
      <c r="AA94">
        <f t="shared" si="150"/>
        <v>0.81841199999999992</v>
      </c>
      <c r="AB94" s="217">
        <f t="shared" si="146"/>
        <v>0.14001205917152143</v>
      </c>
    </row>
    <row r="95" spans="1:28" ht="17" x14ac:dyDescent="0.2">
      <c r="A95" s="203" t="s">
        <v>156</v>
      </c>
      <c r="B95" s="207">
        <f>SUM('M Girl '!H72:H106)</f>
        <v>0.96816701113265835</v>
      </c>
      <c r="C95" s="217">
        <f t="shared" si="135"/>
        <v>0.26643273928048505</v>
      </c>
      <c r="D95">
        <f>SUM('M Girl '!K72:K106)</f>
        <v>1.5333834360410832</v>
      </c>
      <c r="E95" s="217">
        <f t="shared" si="136"/>
        <v>0.2624791059114141</v>
      </c>
      <c r="F95" s="207">
        <f>SUM('M Girl '!N72:N106)</f>
        <v>0.96188636013327555</v>
      </c>
      <c r="G95" s="217">
        <f t="shared" si="137"/>
        <v>0.27209049746846053</v>
      </c>
      <c r="H95">
        <f>SUM('M Girl '!Q72:Q106)</f>
        <v>1.3285795469464623</v>
      </c>
      <c r="I95" s="217">
        <f t="shared" si="138"/>
        <v>0.25327115372400216</v>
      </c>
      <c r="J95" s="207">
        <f t="shared" si="147"/>
        <v>0.96502668563296701</v>
      </c>
      <c r="K95" s="217">
        <f t="shared" si="139"/>
        <v>0.26922269377805164</v>
      </c>
      <c r="L95">
        <f t="shared" si="148"/>
        <v>1.4309814914937729</v>
      </c>
      <c r="M95" s="217">
        <f t="shared" si="140"/>
        <v>0.25812271245410712</v>
      </c>
      <c r="P95" s="203" t="s">
        <v>156</v>
      </c>
      <c r="Q95" s="207">
        <f>SUM('M Mother '!H72:H106)</f>
        <v>1.016575361689291</v>
      </c>
      <c r="R95" s="217">
        <f t="shared" si="141"/>
        <v>0.2567561531852372</v>
      </c>
      <c r="S95">
        <f>SUM('M Mother '!K72:K106)</f>
        <v>1.6100526078431372</v>
      </c>
      <c r="T95" s="217">
        <f t="shared" si="142"/>
        <v>0.26035681438368719</v>
      </c>
      <c r="U95" s="207">
        <f>SUM('M Mother '!N72:N106)</f>
        <v>1.009980678139939</v>
      </c>
      <c r="V95" s="217">
        <f t="shared" si="143"/>
        <v>0.26174213622385301</v>
      </c>
      <c r="W95">
        <f>SUM('M Mother '!Q72:Q106)</f>
        <v>1.3950085242937855</v>
      </c>
      <c r="X95" s="217">
        <f t="shared" si="144"/>
        <v>0.25333530665845705</v>
      </c>
      <c r="Y95" s="207">
        <f t="shared" si="149"/>
        <v>1.013278019914615</v>
      </c>
      <c r="Z95" s="217">
        <f t="shared" si="145"/>
        <v>0.25921706007773299</v>
      </c>
      <c r="AA95">
        <f t="shared" si="150"/>
        <v>1.5025305660684614</v>
      </c>
      <c r="AB95" s="217">
        <f t="shared" si="146"/>
        <v>0.25704950382374281</v>
      </c>
    </row>
    <row r="96" spans="1:28" s="83" customFormat="1" ht="17" x14ac:dyDescent="0.2">
      <c r="A96" s="223" t="s">
        <v>525</v>
      </c>
      <c r="B96" s="224">
        <f>SUM('M Girl '!H72:H78,'M Girl '!H84:H86)</f>
        <v>0.32593982905982916</v>
      </c>
      <c r="C96" s="222">
        <f>B96/$B$95</f>
        <v>0.33665661534832947</v>
      </c>
      <c r="D96" s="225">
        <f>SUM('M Girl '!K72:K78,'M Girl '!K84:K86)</f>
        <v>0.75712666666666673</v>
      </c>
      <c r="E96" s="222">
        <f>D96/$D$95</f>
        <v>0.49376212685682186</v>
      </c>
      <c r="F96" s="224">
        <f>SUM('M Girl '!N72:N78,'M Girl '!N84:N86)</f>
        <v>0.31423582905982916</v>
      </c>
      <c r="G96" s="222">
        <f>F96/$F$95</f>
        <v>0.32668706209358223</v>
      </c>
      <c r="H96" s="225">
        <f>SUM('M Girl '!Q72:Q78,'M Girl '!Q84:Q86)</f>
        <v>0.59776266666666678</v>
      </c>
      <c r="I96" s="222">
        <f>H96/$H$95</f>
        <v>0.44992613956803207</v>
      </c>
      <c r="J96" s="233">
        <f t="shared" si="147"/>
        <v>0.32008782905982913</v>
      </c>
      <c r="K96" s="222">
        <f>J96/$J$95</f>
        <v>0.3316880598487093</v>
      </c>
      <c r="L96" s="85">
        <f t="shared" si="148"/>
        <v>0.67744466666666669</v>
      </c>
      <c r="M96" s="247">
        <f>L96/$L$95</f>
        <v>0.47341259876079583</v>
      </c>
      <c r="P96" s="223" t="s">
        <v>525</v>
      </c>
      <c r="Q96" s="224">
        <f>SUM('M Mother '!H72:H79,'M Mother '!H84:H86)</f>
        <v>0.34223682051282056</v>
      </c>
      <c r="R96" s="222">
        <f>Q96/$Q$95</f>
        <v>0.33665661534832947</v>
      </c>
      <c r="S96" s="225">
        <f>SUM('M Mother '!K72:K78,'M Mother '!K84:K86)</f>
        <v>0.794983</v>
      </c>
      <c r="T96" s="222">
        <f>S96/$S$95</f>
        <v>0.49376212685682186</v>
      </c>
      <c r="U96" s="224">
        <f>SUM('M Mother '!N72:N78,'M Mother '!N84:N86)</f>
        <v>0.32994762051282056</v>
      </c>
      <c r="V96" s="222">
        <f>U96/$U$95</f>
        <v>0.32668706209358228</v>
      </c>
      <c r="W96" s="225">
        <f>SUM('M Mother '!Q72:Q78,'M Mother '!Q84:Q86)</f>
        <v>0.62765080000000006</v>
      </c>
      <c r="X96" s="222">
        <f>W96/$W$95</f>
        <v>0.44992613956803196</v>
      </c>
      <c r="Y96" s="233">
        <f t="shared" si="149"/>
        <v>0.33609222051282056</v>
      </c>
      <c r="Z96" s="222">
        <f>Y96/$Y$95</f>
        <v>0.33168805984870942</v>
      </c>
      <c r="AA96" s="85">
        <f t="shared" si="150"/>
        <v>0.71131690000000003</v>
      </c>
      <c r="AB96" s="222">
        <f>AA96/$AA$95</f>
        <v>0.47341259876079589</v>
      </c>
    </row>
    <row r="97" spans="1:28" s="83" customFormat="1" ht="17" x14ac:dyDescent="0.2">
      <c r="A97" s="223" t="s">
        <v>170</v>
      </c>
      <c r="B97" s="224">
        <f>SUM('M Girl '!H81)</f>
        <v>4.1392000000000005E-2</v>
      </c>
      <c r="C97" s="222">
        <f t="shared" ref="C97:C99" si="151">B97/$B$95</f>
        <v>4.2752954318878843E-2</v>
      </c>
      <c r="D97" s="225">
        <f>SUM('M Girl '!K81)</f>
        <v>8.2853333333333334E-2</v>
      </c>
      <c r="E97" s="222">
        <f t="shared" ref="E97:E99" si="152">D97/$D$95</f>
        <v>5.4033017043177117E-2</v>
      </c>
      <c r="F97" s="224">
        <f>SUM('M Girl '!N81)</f>
        <v>4.1392000000000005E-2</v>
      </c>
      <c r="G97" s="222">
        <f t="shared" ref="G97:G99" si="153">F97/$F$95</f>
        <v>4.3032110356845975E-2</v>
      </c>
      <c r="H97" s="225">
        <f>SUM('M Girl '!Q81)</f>
        <v>6.6352000000000008E-2</v>
      </c>
      <c r="I97" s="222">
        <f t="shared" ref="I97:I99" si="154">H97/$H$95</f>
        <v>4.9942060415200558E-2</v>
      </c>
      <c r="J97" s="233">
        <f t="shared" si="147"/>
        <v>4.1392000000000005E-2</v>
      </c>
      <c r="K97" s="222">
        <f t="shared" ref="K97:K99" si="155">J97/$J$95</f>
        <v>4.2892078132379038E-2</v>
      </c>
      <c r="L97" s="85">
        <f t="shared" si="148"/>
        <v>7.4602666666666678E-2</v>
      </c>
      <c r="M97" s="222">
        <f t="shared" ref="M97:M99" si="156">L97/$L$95</f>
        <v>5.213391445670653E-2</v>
      </c>
      <c r="P97" s="223" t="s">
        <v>170</v>
      </c>
      <c r="Q97" s="224">
        <f>SUM('M Mother '!H81)</f>
        <v>4.3461600000000003E-2</v>
      </c>
      <c r="R97" s="222">
        <f t="shared" ref="R97:R99" si="157">Q97/$Q$95</f>
        <v>4.275295431887885E-2</v>
      </c>
      <c r="S97" s="225">
        <f>SUM('M Mother '!K81)</f>
        <v>8.6996000000000004E-2</v>
      </c>
      <c r="T97" s="222">
        <f t="shared" ref="T97:T99" si="158">S97/$S$95</f>
        <v>5.4033017043177124E-2</v>
      </c>
      <c r="U97" s="224">
        <f>SUM('M Mother '!N81)</f>
        <v>4.3461600000000003E-2</v>
      </c>
      <c r="V97" s="222">
        <f t="shared" ref="V97:V99" si="159">U97/$U$95</f>
        <v>4.3032110356845989E-2</v>
      </c>
      <c r="W97" s="225">
        <f>SUM('M Mother '!Q81)</f>
        <v>6.9669599999999998E-2</v>
      </c>
      <c r="X97" s="222">
        <f t="shared" ref="X97:X99" si="160">W97/$W$95</f>
        <v>4.9942060415200551E-2</v>
      </c>
      <c r="Y97" s="233">
        <f t="shared" si="149"/>
        <v>4.3461600000000003E-2</v>
      </c>
      <c r="Z97" s="222">
        <f t="shared" ref="Z97:Z99" si="161">Y97/$Y$95</f>
        <v>4.2892078132379052E-2</v>
      </c>
      <c r="AA97" s="85">
        <f t="shared" si="150"/>
        <v>7.8332800000000008E-2</v>
      </c>
      <c r="AB97" s="222">
        <f>AA97/$AA$95</f>
        <v>5.213391445670653E-2</v>
      </c>
    </row>
    <row r="98" spans="1:28" s="83" customFormat="1" ht="17" x14ac:dyDescent="0.2">
      <c r="A98" s="223" t="s">
        <v>526</v>
      </c>
      <c r="B98" s="224">
        <f>SUM('M Girl '!H89:H98)</f>
        <v>0.27223518207282915</v>
      </c>
      <c r="C98" s="222">
        <f t="shared" si="151"/>
        <v>0.28118617856473055</v>
      </c>
      <c r="D98" s="225">
        <f>SUM('M Girl '!K89:K98)</f>
        <v>0.29980343604108312</v>
      </c>
      <c r="E98" s="222">
        <f t="shared" si="152"/>
        <v>0.19551759135674571</v>
      </c>
      <c r="F98" s="224">
        <f>SUM('M Girl '!N89:N98)</f>
        <v>0.2776585310734464</v>
      </c>
      <c r="G98" s="222">
        <f t="shared" si="153"/>
        <v>0.28866043077580911</v>
      </c>
      <c r="H98" s="225">
        <f>SUM('M Girl '!Q89:Q98)</f>
        <v>0.30286488027979558</v>
      </c>
      <c r="I98" s="222">
        <f t="shared" si="154"/>
        <v>0.22796142013166196</v>
      </c>
      <c r="J98" s="233">
        <f t="shared" si="147"/>
        <v>0.27494685657313778</v>
      </c>
      <c r="K98" s="222">
        <f t="shared" si="155"/>
        <v>0.28491114356366054</v>
      </c>
      <c r="L98" s="85">
        <f t="shared" si="148"/>
        <v>0.30133415816043935</v>
      </c>
      <c r="M98" s="222">
        <f t="shared" si="156"/>
        <v>0.21057865524583597</v>
      </c>
      <c r="P98" s="223" t="s">
        <v>526</v>
      </c>
      <c r="Q98" s="224">
        <f>SUM('M Mother '!H89:H98)</f>
        <v>0.28584694117647058</v>
      </c>
      <c r="R98" s="222">
        <f t="shared" si="157"/>
        <v>0.2811861785647306</v>
      </c>
      <c r="S98" s="225">
        <f>SUM('M Mother '!K89:K98)</f>
        <v>0.31479360784313726</v>
      </c>
      <c r="T98" s="222">
        <f t="shared" si="158"/>
        <v>0.19551759135674571</v>
      </c>
      <c r="U98" s="224">
        <f>SUM('M Mother '!N89:N98)</f>
        <v>0.29154145762711858</v>
      </c>
      <c r="V98" s="222">
        <f t="shared" si="159"/>
        <v>0.28866043077580911</v>
      </c>
      <c r="W98" s="225">
        <f>SUM('M Mother '!Q89:Q98)</f>
        <v>0.31800812429378533</v>
      </c>
      <c r="X98" s="222">
        <f t="shared" si="160"/>
        <v>0.2279614201316619</v>
      </c>
      <c r="Y98" s="233">
        <f t="shared" si="149"/>
        <v>0.28869419940179458</v>
      </c>
      <c r="Z98" s="222">
        <f t="shared" si="161"/>
        <v>0.2849111435636606</v>
      </c>
      <c r="AA98" s="85">
        <f t="shared" si="150"/>
        <v>0.3164008660684613</v>
      </c>
      <c r="AB98" s="222">
        <f t="shared" ref="AB98:AB99" si="162">AA98/$AA$95</f>
        <v>0.21057865524583597</v>
      </c>
    </row>
    <row r="99" spans="1:28" s="83" customFormat="1" ht="17" x14ac:dyDescent="0.2">
      <c r="A99" s="223" t="s">
        <v>205</v>
      </c>
      <c r="B99" s="224">
        <f>SUM('M Girl '!H102:H106)</f>
        <v>0.3286</v>
      </c>
      <c r="C99" s="222">
        <f t="shared" si="151"/>
        <v>0.3394042517680611</v>
      </c>
      <c r="D99" s="225">
        <f>SUM('M Girl '!K102:K106)</f>
        <v>0.39360000000000001</v>
      </c>
      <c r="E99" s="222">
        <f t="shared" si="152"/>
        <v>0.25668726474325532</v>
      </c>
      <c r="F99" s="224">
        <f>SUM('M Girl '!N102:N106)</f>
        <v>0.3286</v>
      </c>
      <c r="G99" s="222">
        <f t="shared" si="153"/>
        <v>0.34162039677376271</v>
      </c>
      <c r="H99" s="225">
        <f>SUM('M Girl '!Q102:Q106)</f>
        <v>0.36159999999999998</v>
      </c>
      <c r="I99" s="222">
        <f t="shared" si="154"/>
        <v>0.27217037988510551</v>
      </c>
      <c r="J99" s="233">
        <f t="shared" si="147"/>
        <v>0.3286</v>
      </c>
      <c r="K99" s="247">
        <f t="shared" si="155"/>
        <v>0.34050871845525105</v>
      </c>
      <c r="L99" s="85">
        <f t="shared" si="148"/>
        <v>0.37759999999999999</v>
      </c>
      <c r="M99" s="222">
        <f t="shared" si="156"/>
        <v>0.26387483153666152</v>
      </c>
      <c r="P99" s="223" t="s">
        <v>205</v>
      </c>
      <c r="Q99" s="224">
        <f>SUM('M Mother '!H102:H106)</f>
        <v>0.34503</v>
      </c>
      <c r="R99" s="222">
        <f t="shared" si="157"/>
        <v>0.33940425176806122</v>
      </c>
      <c r="S99" s="225">
        <f>SUM('M Mother '!K102:K106)</f>
        <v>0.41327999999999998</v>
      </c>
      <c r="T99" s="222">
        <f t="shared" si="158"/>
        <v>0.25668726474325532</v>
      </c>
      <c r="U99" s="224">
        <f>SUM('M Mother '!N102:N106)</f>
        <v>0.34503</v>
      </c>
      <c r="V99" s="222">
        <f t="shared" si="159"/>
        <v>0.34162039677376282</v>
      </c>
      <c r="W99" s="225">
        <f>SUM('M Mother '!Q102:Q106)</f>
        <v>0.37968000000000002</v>
      </c>
      <c r="X99" s="222">
        <f t="shared" si="160"/>
        <v>0.27217037988510551</v>
      </c>
      <c r="Y99" s="233">
        <f t="shared" si="149"/>
        <v>0.34503</v>
      </c>
      <c r="Z99" s="222">
        <f t="shared" si="161"/>
        <v>0.34050871845525116</v>
      </c>
      <c r="AA99" s="85">
        <f t="shared" si="150"/>
        <v>0.39648</v>
      </c>
      <c r="AB99" s="222">
        <f t="shared" si="162"/>
        <v>0.26387483153666158</v>
      </c>
    </row>
    <row r="100" spans="1:28" ht="17" x14ac:dyDescent="0.2">
      <c r="A100" s="203" t="s">
        <v>413</v>
      </c>
      <c r="B100" s="207">
        <f>SUM('M Girl '!H109:H117)</f>
        <v>0.28613119999999997</v>
      </c>
      <c r="C100" s="217">
        <f>B100/$B$104</f>
        <v>7.8741290018160548E-2</v>
      </c>
      <c r="D100">
        <f>SUM('M Girl '!K109:K117)</f>
        <v>0.44988373333333331</v>
      </c>
      <c r="E100" s="217">
        <f>D100/$D$104</f>
        <v>7.7009492416519484E-2</v>
      </c>
      <c r="F100" s="207">
        <f>SUM('M Girl '!N109:N117)</f>
        <v>0.21866453333333333</v>
      </c>
      <c r="G100" s="217">
        <f>F100/$F$104</f>
        <v>6.1854023634488185E-2</v>
      </c>
      <c r="H100">
        <f>SUM('M Girl '!Q109:Q117)</f>
        <v>0.29777706666666665</v>
      </c>
      <c r="I100" s="217">
        <f>H100/$H$104</f>
        <v>5.6766146521338025E-2</v>
      </c>
      <c r="J100" s="207">
        <f t="shared" si="147"/>
        <v>0.25239786666666664</v>
      </c>
      <c r="K100" s="217">
        <f>J100/$J$104</f>
        <v>7.0413838891163788E-2</v>
      </c>
      <c r="L100">
        <f t="shared" si="148"/>
        <v>0.37383040000000001</v>
      </c>
      <c r="M100" s="217">
        <f>L100/$L$104</f>
        <v>6.7432120834124545E-2</v>
      </c>
      <c r="P100" s="203" t="s">
        <v>413</v>
      </c>
      <c r="Q100" s="207">
        <f>SUM('M Mother '!H109:H117)</f>
        <v>0.30043776</v>
      </c>
      <c r="R100" s="217">
        <f>Q100/$Q$104</f>
        <v>7.588148054365948E-2</v>
      </c>
      <c r="S100">
        <f>SUM('M Mother '!K109:K117)</f>
        <v>0.42408352000000005</v>
      </c>
      <c r="T100" s="217">
        <f>S100/$S$104</f>
        <v>6.8577283600523162E-2</v>
      </c>
      <c r="U100" s="207">
        <f>SUM('M Mother '!N109:N117)</f>
        <v>0.21104832000000001</v>
      </c>
      <c r="V100" s="217">
        <f>U100/$U$104</f>
        <v>5.4694351405801304E-2</v>
      </c>
      <c r="W100">
        <f>SUM('M Mother '!Q109:Q117)</f>
        <v>0.31486112000000005</v>
      </c>
      <c r="X100" s="217">
        <f>W100/$W$104</f>
        <v>5.7179176328263664E-2</v>
      </c>
      <c r="Y100" s="207">
        <f t="shared" si="149"/>
        <v>0.25574304000000003</v>
      </c>
      <c r="Z100" s="217">
        <f>Y100/$Y$104</f>
        <v>6.5424254411171709E-2</v>
      </c>
      <c r="AA100">
        <f t="shared" si="150"/>
        <v>0.36947232000000008</v>
      </c>
      <c r="AB100" s="217">
        <f>AA100/$AA$104</f>
        <v>6.3208482194883897E-2</v>
      </c>
    </row>
    <row r="101" spans="1:28" ht="34" x14ac:dyDescent="0.2">
      <c r="A101" s="203" t="s">
        <v>414</v>
      </c>
      <c r="B101" s="207">
        <f>SUM('M Girl '!H120:H122)</f>
        <v>9.1346666666666687E-2</v>
      </c>
      <c r="C101" s="217">
        <f t="shared" ref="C101:C102" si="163">B101/$B$104</f>
        <v>2.5137958992910388E-2</v>
      </c>
      <c r="D101">
        <f>SUM('M Girl '!K120:K122)</f>
        <v>0.251224</v>
      </c>
      <c r="E101" s="217">
        <f t="shared" ref="E101:E102" si="164">D101/$D$104</f>
        <v>4.3003628025183892E-2</v>
      </c>
      <c r="F101" s="207">
        <f>SUM('M Girl '!N120:N122)</f>
        <v>9.3826666666666669E-2</v>
      </c>
      <c r="G101" s="217">
        <f t="shared" ref="G101:G102" si="165">F101/$F$104</f>
        <v>2.6540915296484197E-2</v>
      </c>
      <c r="H101">
        <f>SUM('M Girl '!Q120:Q122)</f>
        <v>0.20617066666666667</v>
      </c>
      <c r="I101" s="217">
        <f t="shared" ref="I101:I102" si="166">H101/$H$104</f>
        <v>3.9302940294938568E-2</v>
      </c>
      <c r="J101" s="207">
        <f t="shared" si="147"/>
        <v>9.2586666666666678E-2</v>
      </c>
      <c r="K101" s="217">
        <f t="shared" ref="K101:K102" si="167">J101/$J$104</f>
        <v>2.5829784998723786E-2</v>
      </c>
      <c r="L101">
        <f t="shared" si="148"/>
        <v>0.22869733333333334</v>
      </c>
      <c r="M101" s="217">
        <f t="shared" ref="M101:M102" si="168">L101/$L$104</f>
        <v>4.1252787937458783E-2</v>
      </c>
      <c r="P101" s="203" t="s">
        <v>414</v>
      </c>
      <c r="Q101" s="207">
        <f>SUM('M Mother '!H120:H122)</f>
        <v>9.5914000000000013E-2</v>
      </c>
      <c r="R101" s="217">
        <f t="shared" ref="R101:R102" si="169">Q101/$Q$104</f>
        <v>2.4224972003734007E-2</v>
      </c>
      <c r="S101">
        <f>SUM('M Mother '!K120:K122)</f>
        <v>0.2637852</v>
      </c>
      <c r="T101" s="217">
        <f t="shared" ref="T101:T102" si="170">S101/$S$104</f>
        <v>4.2655919451953045E-2</v>
      </c>
      <c r="U101" s="207">
        <f>SUM('M Mother '!N120:N122)</f>
        <v>9.8518000000000022E-2</v>
      </c>
      <c r="V101" s="217">
        <f t="shared" ref="V101:V102" si="171">U101/$U$104</f>
        <v>2.5531490190477395E-2</v>
      </c>
      <c r="W101">
        <f>SUM('M Mother '!Q120:Q122)</f>
        <v>0.21647919999999998</v>
      </c>
      <c r="X101" s="217">
        <f t="shared" ref="X101:X102" si="172">W101/$W$104</f>
        <v>3.9312895629036233E-2</v>
      </c>
      <c r="Y101" s="207">
        <f t="shared" si="149"/>
        <v>9.7216000000000025E-2</v>
      </c>
      <c r="Z101" s="217">
        <f t="shared" ref="Z101:Z102" si="173">Y101/$Y$104</f>
        <v>2.4869823698179506E-2</v>
      </c>
      <c r="AA101">
        <f t="shared" si="150"/>
        <v>0.24013219999999999</v>
      </c>
      <c r="AB101" s="217">
        <f t="shared" ref="AB101:AB102" si="174">AA101/$AA$104</f>
        <v>4.1081269330590975E-2</v>
      </c>
    </row>
    <row r="102" spans="1:28" ht="17" x14ac:dyDescent="0.2">
      <c r="A102" s="212" t="s">
        <v>618</v>
      </c>
      <c r="B102" s="209">
        <f>SUM('M Girl '!H125:H128)</f>
        <v>0.24696960000000001</v>
      </c>
      <c r="C102" s="218">
        <f t="shared" si="163"/>
        <v>6.796429365014757E-2</v>
      </c>
      <c r="D102" s="210">
        <f>SUM('M Girl '!K125:K128)</f>
        <v>0.58957142857142864</v>
      </c>
      <c r="E102" s="218">
        <f t="shared" si="164"/>
        <v>0.10092073372194532</v>
      </c>
      <c r="F102" s="209">
        <f>SUM('M Girl '!N125:N128)</f>
        <v>0.24721499999999999</v>
      </c>
      <c r="G102" s="218">
        <f t="shared" si="165"/>
        <v>6.9930144681899314E-2</v>
      </c>
      <c r="H102" s="210">
        <f>SUM('M Girl '!Q125:Q128)</f>
        <v>0.61614285714285721</v>
      </c>
      <c r="I102" s="218">
        <f t="shared" si="166"/>
        <v>0.11745718398723994</v>
      </c>
      <c r="J102" s="209">
        <f t="shared" si="147"/>
        <v>0.24709229999999999</v>
      </c>
      <c r="K102" s="218">
        <f t="shared" si="167"/>
        <v>6.8933694381914129E-2</v>
      </c>
      <c r="L102" s="210">
        <f t="shared" si="148"/>
        <v>0.60285714285714298</v>
      </c>
      <c r="M102" s="218">
        <f t="shared" si="168"/>
        <v>0.10874432818427272</v>
      </c>
      <c r="P102" s="216" t="s">
        <v>619</v>
      </c>
      <c r="Q102" s="209">
        <f>SUM('M Mother '!H125:H129)</f>
        <v>0.40311622857142854</v>
      </c>
      <c r="R102" s="218">
        <f t="shared" si="169"/>
        <v>0.10181495247194042</v>
      </c>
      <c r="S102" s="210">
        <f>SUM('M Mother '!K125:K129)</f>
        <v>0.71734571428571425</v>
      </c>
      <c r="T102" s="218">
        <f t="shared" si="170"/>
        <v>0.11599984005082602</v>
      </c>
      <c r="U102" s="209">
        <f>SUM('M Mother '!N125:N129)</f>
        <v>0.4248817857142857</v>
      </c>
      <c r="V102" s="218">
        <f t="shared" si="171"/>
        <v>0.11011048888605941</v>
      </c>
      <c r="W102" s="210">
        <f>SUM('M Mother '!Q125:Q129)</f>
        <v>0.64336000000000004</v>
      </c>
      <c r="X102" s="218">
        <f t="shared" si="172"/>
        <v>0.11683498706525502</v>
      </c>
      <c r="Y102" s="209">
        <f t="shared" si="149"/>
        <v>0.41399900714285709</v>
      </c>
      <c r="Z102" s="218">
        <f t="shared" si="173"/>
        <v>0.10590933919174017</v>
      </c>
      <c r="AA102" s="210">
        <f t="shared" si="150"/>
        <v>0.6803528571428572</v>
      </c>
      <c r="AB102" s="218">
        <f t="shared" si="174"/>
        <v>0.11639321575416708</v>
      </c>
    </row>
    <row r="103" spans="1:28" x14ac:dyDescent="0.2">
      <c r="C103" s="83"/>
      <c r="E103" s="83"/>
      <c r="G103" s="83"/>
      <c r="I103" s="83"/>
      <c r="R103" s="83"/>
      <c r="T103" s="83"/>
      <c r="V103" s="83"/>
      <c r="X103" s="83"/>
    </row>
    <row r="104" spans="1:28" ht="17" x14ac:dyDescent="0.2">
      <c r="A104" s="213" t="s">
        <v>527</v>
      </c>
      <c r="B104" s="214">
        <f t="shared" ref="B104:M104" si="175">SUM(B90:B95,B100:B102)</f>
        <v>3.6338139740155126</v>
      </c>
      <c r="C104" s="214">
        <f t="shared" si="175"/>
        <v>1.0000000000000002</v>
      </c>
      <c r="D104" s="214">
        <f t="shared" si="175"/>
        <v>5.841925705730632</v>
      </c>
      <c r="E104" s="214">
        <f t="shared" si="175"/>
        <v>1</v>
      </c>
      <c r="F104" s="214">
        <f t="shared" si="175"/>
        <v>3.535170721075156</v>
      </c>
      <c r="G104" s="214">
        <f t="shared" si="175"/>
        <v>0.99999999999999989</v>
      </c>
      <c r="H104" s="214">
        <f t="shared" si="175"/>
        <v>5.2456804788525533</v>
      </c>
      <c r="I104" s="214">
        <f t="shared" si="175"/>
        <v>0.99999999999999967</v>
      </c>
      <c r="J104" s="227">
        <f t="shared" si="175"/>
        <v>3.5844923475453343</v>
      </c>
      <c r="K104" s="214">
        <f t="shared" si="175"/>
        <v>1</v>
      </c>
      <c r="L104" s="227">
        <f t="shared" si="175"/>
        <v>5.5438030922915935</v>
      </c>
      <c r="M104" s="214">
        <f t="shared" si="175"/>
        <v>0.99999999999999978</v>
      </c>
      <c r="P104" s="213" t="s">
        <v>527</v>
      </c>
      <c r="Q104" s="214">
        <f t="shared" ref="Q104:AB104" si="176">SUM(Q90:Q95,Q100:Q102)</f>
        <v>3.959302821287717</v>
      </c>
      <c r="R104" s="214">
        <f t="shared" si="176"/>
        <v>1</v>
      </c>
      <c r="S104" s="214">
        <f t="shared" si="176"/>
        <v>6.1840233053028779</v>
      </c>
      <c r="T104" s="214">
        <f t="shared" si="176"/>
        <v>1</v>
      </c>
      <c r="U104" s="214">
        <f t="shared" si="176"/>
        <v>3.8586858528431986</v>
      </c>
      <c r="V104" s="214">
        <f t="shared" si="176"/>
        <v>1</v>
      </c>
      <c r="W104" s="214">
        <f t="shared" si="176"/>
        <v>5.5065697027951801</v>
      </c>
      <c r="X104" s="214">
        <f t="shared" si="176"/>
        <v>1</v>
      </c>
      <c r="Y104" s="227">
        <f t="shared" si="176"/>
        <v>3.9089943370654581</v>
      </c>
      <c r="Z104" s="214">
        <f t="shared" si="176"/>
        <v>1</v>
      </c>
      <c r="AA104" s="227">
        <f t="shared" si="176"/>
        <v>5.8452965040490286</v>
      </c>
      <c r="AB104" s="214">
        <f t="shared" si="176"/>
        <v>1</v>
      </c>
    </row>
    <row r="105" spans="1:28" ht="17" thickTop="1" x14ac:dyDescent="0.2"/>
    <row r="106" spans="1:28" x14ac:dyDescent="0.2">
      <c r="A106" s="463" t="s">
        <v>473</v>
      </c>
      <c r="B106" s="458" t="s">
        <v>427</v>
      </c>
      <c r="C106" s="459"/>
      <c r="D106" s="459"/>
      <c r="E106" s="201"/>
      <c r="F106" s="458" t="s">
        <v>519</v>
      </c>
      <c r="G106" s="459"/>
      <c r="H106" s="459"/>
      <c r="I106" s="460"/>
      <c r="J106" s="458" t="s">
        <v>490</v>
      </c>
      <c r="K106" s="459"/>
      <c r="L106" s="459"/>
      <c r="M106" s="460"/>
      <c r="P106" s="463" t="s">
        <v>473</v>
      </c>
      <c r="Q106" s="458" t="s">
        <v>427</v>
      </c>
      <c r="R106" s="459"/>
      <c r="S106" s="459"/>
      <c r="T106" s="201"/>
      <c r="U106" s="458" t="s">
        <v>519</v>
      </c>
      <c r="V106" s="459"/>
      <c r="W106" s="459"/>
      <c r="X106" s="460"/>
      <c r="Y106" s="458" t="s">
        <v>490</v>
      </c>
      <c r="Z106" s="459"/>
      <c r="AA106" s="459"/>
      <c r="AB106" s="460"/>
    </row>
    <row r="107" spans="1:28" x14ac:dyDescent="0.2">
      <c r="A107" s="464"/>
      <c r="B107" s="453" t="s">
        <v>483</v>
      </c>
      <c r="C107" s="454"/>
      <c r="D107" s="454" t="s">
        <v>485</v>
      </c>
      <c r="E107" s="461"/>
      <c r="F107" s="453" t="s">
        <v>520</v>
      </c>
      <c r="G107" s="454"/>
      <c r="H107" s="454" t="s">
        <v>485</v>
      </c>
      <c r="I107" s="461"/>
      <c r="J107" s="453" t="s">
        <v>483</v>
      </c>
      <c r="K107" s="454"/>
      <c r="L107" s="454" t="s">
        <v>485</v>
      </c>
      <c r="M107" s="461"/>
      <c r="P107" s="464"/>
      <c r="Q107" s="453" t="s">
        <v>483</v>
      </c>
      <c r="R107" s="454"/>
      <c r="S107" s="454" t="s">
        <v>485</v>
      </c>
      <c r="T107" s="461"/>
      <c r="U107" s="453" t="s">
        <v>520</v>
      </c>
      <c r="V107" s="454"/>
      <c r="W107" s="454" t="s">
        <v>485</v>
      </c>
      <c r="X107" s="461"/>
      <c r="Y107" s="453" t="s">
        <v>483</v>
      </c>
      <c r="Z107" s="454"/>
      <c r="AA107" s="454" t="s">
        <v>485</v>
      </c>
      <c r="AB107" s="461"/>
    </row>
    <row r="108" spans="1:28" x14ac:dyDescent="0.2">
      <c r="A108" s="465"/>
      <c r="B108" s="455" t="s">
        <v>521</v>
      </c>
      <c r="C108" s="456"/>
      <c r="D108" s="456" t="s">
        <v>522</v>
      </c>
      <c r="E108" s="456"/>
      <c r="F108" s="455" t="s">
        <v>521</v>
      </c>
      <c r="G108" s="456"/>
      <c r="H108" s="456" t="s">
        <v>522</v>
      </c>
      <c r="I108" s="456"/>
      <c r="J108" s="455" t="s">
        <v>521</v>
      </c>
      <c r="K108" s="456"/>
      <c r="L108" s="456" t="s">
        <v>522</v>
      </c>
      <c r="M108" s="457"/>
      <c r="P108" s="465"/>
      <c r="Q108" s="455" t="s">
        <v>521</v>
      </c>
      <c r="R108" s="456"/>
      <c r="S108" s="456" t="s">
        <v>522</v>
      </c>
      <c r="T108" s="456"/>
      <c r="U108" s="455" t="s">
        <v>521</v>
      </c>
      <c r="V108" s="456"/>
      <c r="W108" s="456" t="s">
        <v>522</v>
      </c>
      <c r="X108" s="456"/>
      <c r="Y108" s="455" t="s">
        <v>521</v>
      </c>
      <c r="Z108" s="456"/>
      <c r="AA108" s="456" t="s">
        <v>522</v>
      </c>
      <c r="AB108" s="457"/>
    </row>
    <row r="109" spans="1:28" x14ac:dyDescent="0.2">
      <c r="A109" s="204"/>
      <c r="B109" s="345" t="s">
        <v>523</v>
      </c>
      <c r="C109" s="347" t="s">
        <v>386</v>
      </c>
      <c r="D109" s="345" t="s">
        <v>523</v>
      </c>
      <c r="E109" s="347" t="s">
        <v>386</v>
      </c>
      <c r="F109" s="345" t="s">
        <v>523</v>
      </c>
      <c r="G109" s="346" t="s">
        <v>386</v>
      </c>
      <c r="H109" s="345" t="s">
        <v>523</v>
      </c>
      <c r="I109" s="347" t="s">
        <v>386</v>
      </c>
      <c r="J109" s="345" t="s">
        <v>523</v>
      </c>
      <c r="K109" s="347" t="s">
        <v>386</v>
      </c>
      <c r="L109" s="345" t="s">
        <v>523</v>
      </c>
      <c r="M109" s="347" t="s">
        <v>386</v>
      </c>
      <c r="P109" s="348"/>
      <c r="Q109" s="345" t="s">
        <v>523</v>
      </c>
      <c r="R109" s="347" t="s">
        <v>386</v>
      </c>
      <c r="S109" s="345" t="s">
        <v>523</v>
      </c>
      <c r="T109" s="347" t="s">
        <v>386</v>
      </c>
      <c r="U109" s="345" t="s">
        <v>523</v>
      </c>
      <c r="V109" s="347" t="s">
        <v>386</v>
      </c>
      <c r="W109" s="345" t="s">
        <v>523</v>
      </c>
      <c r="X109" s="347" t="s">
        <v>386</v>
      </c>
      <c r="Y109" s="345" t="s">
        <v>523</v>
      </c>
      <c r="Z109" s="347" t="s">
        <v>386</v>
      </c>
      <c r="AA109" s="345" t="s">
        <v>523</v>
      </c>
      <c r="AB109" s="347" t="s">
        <v>386</v>
      </c>
    </row>
    <row r="110" spans="1:28" ht="17" x14ac:dyDescent="0.2">
      <c r="A110" s="215" t="s">
        <v>390</v>
      </c>
      <c r="B110" s="207">
        <f>SUM('L Girl  '!H12:H16)</f>
        <v>0.44588800000000006</v>
      </c>
      <c r="C110" s="217">
        <f>B110/$B$124</f>
        <v>0.12974034879352692</v>
      </c>
      <c r="D110">
        <f>SUM('L Girl  '!K12:K16)</f>
        <v>0.62572800000000006</v>
      </c>
      <c r="E110" s="217">
        <f>D110/$D$124</f>
        <v>0.11754697261671063</v>
      </c>
      <c r="F110">
        <f>SUM('L Girl  '!N12:N16)</f>
        <v>0.52052799999999999</v>
      </c>
      <c r="G110" s="217">
        <f>F110/$F$124</f>
        <v>0.15550934806381669</v>
      </c>
      <c r="H110">
        <f>SUM('L Girl  '!Q12:Q16)</f>
        <v>0.66316799999999998</v>
      </c>
      <c r="I110" s="217">
        <f>H110/$H$124</f>
        <v>0.13682917244064083</v>
      </c>
      <c r="J110" s="207">
        <f>(B110+F110)/2</f>
        <v>0.48320800000000003</v>
      </c>
      <c r="K110" s="217">
        <f>J110/$J$124</f>
        <v>0.14245481622323289</v>
      </c>
      <c r="L110">
        <f>(D110+H110)/2</f>
        <v>0.64444800000000002</v>
      </c>
      <c r="M110" s="217">
        <f>L110/$L$124</f>
        <v>0.12673631972751917</v>
      </c>
      <c r="P110" s="203" t="s">
        <v>390</v>
      </c>
      <c r="Q110" s="207">
        <f>SUM('L Mother '!H12:H16)</f>
        <v>0.46818240000000005</v>
      </c>
      <c r="R110" s="217">
        <f>Q110/$Q$124</f>
        <v>0.12476849654574022</v>
      </c>
      <c r="S110">
        <f>SUM('L Mother '!K12:K16)</f>
        <v>0.6570144</v>
      </c>
      <c r="T110" s="217">
        <f>S110/$S$124</f>
        <v>0.11551549801045136</v>
      </c>
      <c r="U110">
        <f>SUM('L Mother '!N12:N16)</f>
        <v>0.5465544</v>
      </c>
      <c r="V110" s="217">
        <f>U110/$U$124</f>
        <v>0.14852368656720427</v>
      </c>
      <c r="W110">
        <f>SUM('L Mother '!Q12:Q16)</f>
        <v>0.69632640000000001</v>
      </c>
      <c r="X110" s="217">
        <f>W110/$W$124</f>
        <v>0.13692576539848839</v>
      </c>
      <c r="Y110" s="207">
        <f>(Q110+U110)/2</f>
        <v>0.50736840000000005</v>
      </c>
      <c r="Z110" s="217">
        <f>Y110/$Y$124</f>
        <v>0.13653023774325118</v>
      </c>
      <c r="AA110">
        <f>(S110+W110)/2</f>
        <v>0.67667040000000001</v>
      </c>
      <c r="AB110" s="217">
        <f>AA110/$AA$124</f>
        <v>0.12562218822383936</v>
      </c>
    </row>
    <row r="111" spans="1:28" ht="34" x14ac:dyDescent="0.2">
      <c r="A111" s="9" t="s">
        <v>39</v>
      </c>
      <c r="B111" s="207">
        <f>SUM('L Girl  '!H19)</f>
        <v>3.6799999999999999E-2</v>
      </c>
      <c r="C111" s="217">
        <f t="shared" ref="C111:C115" si="177">B111/$B$124</f>
        <v>1.0707722198403612E-2</v>
      </c>
      <c r="D111">
        <f>SUM('L Girl  '!K19)</f>
        <v>6.1200000000000004E-2</v>
      </c>
      <c r="E111" s="217">
        <f t="shared" ref="E111:E115" si="178">D111/$D$124</f>
        <v>1.1496808076580703E-2</v>
      </c>
      <c r="F111">
        <f>SUM('L Girl  '!N19)</f>
        <v>3.8399999999999997E-2</v>
      </c>
      <c r="G111" s="217">
        <f t="shared" ref="G111:G115" si="179">F111/$F$124</f>
        <v>1.1472118628874067E-2</v>
      </c>
      <c r="H111">
        <f>SUM('L Girl  '!Q19)</f>
        <v>5.8399999999999994E-2</v>
      </c>
      <c r="I111" s="217">
        <f t="shared" ref="I111:I115" si="180">H111/$H$124</f>
        <v>1.2049471130291907E-2</v>
      </c>
      <c r="J111" s="207">
        <f>(B111+F111)/2</f>
        <v>3.7599999999999995E-2</v>
      </c>
      <c r="K111" s="217">
        <f t="shared" ref="K111:K115" si="181">J111/$J$124</f>
        <v>1.1084876678352916E-2</v>
      </c>
      <c r="L111">
        <f t="shared" ref="L111:L122" si="182">(D111+H111)/2</f>
        <v>5.9799999999999999E-2</v>
      </c>
      <c r="M111" s="217">
        <f t="shared" ref="M111:M115" si="183">L111/$L$124</f>
        <v>1.1760191543314039E-2</v>
      </c>
      <c r="P111" s="203" t="s">
        <v>39</v>
      </c>
      <c r="Q111" s="207">
        <f>SUM('L Mother '!H19)</f>
        <v>3.8640000000000001E-2</v>
      </c>
      <c r="R111" s="217">
        <f t="shared" ref="R111:R115" si="184">Q111/$Q$124</f>
        <v>1.0297385605540494E-2</v>
      </c>
      <c r="S111">
        <f>SUM('L Mother '!K19)</f>
        <v>6.4260000000000012E-2</v>
      </c>
      <c r="T111" s="217">
        <f t="shared" ref="T111:T115" si="185">S111/$S$124</f>
        <v>1.129811751789855E-2</v>
      </c>
      <c r="U111">
        <f>SUM('L Mother '!N19)</f>
        <v>4.0319999999999995E-2</v>
      </c>
      <c r="V111" s="217">
        <f t="shared" ref="V111:V115" si="186">U111/$U$124</f>
        <v>1.0956777664564909E-2</v>
      </c>
      <c r="W111">
        <f>SUM('L Mother '!Q19)</f>
        <v>6.132E-2</v>
      </c>
      <c r="X111" s="217">
        <f t="shared" ref="X111:X115" si="187">W111/$W$124</f>
        <v>1.205797731385067E-2</v>
      </c>
      <c r="Y111" s="207">
        <f>(Q111+U111)/2</f>
        <v>3.9480000000000001E-2</v>
      </c>
      <c r="Z111" s="217">
        <f t="shared" ref="Z111:Z115" si="188">Y111/$Y$124</f>
        <v>1.0623865786879034E-2</v>
      </c>
      <c r="AA111">
        <f t="shared" ref="AA111:AA122" si="189">(S111+W111)/2</f>
        <v>6.2790000000000012E-2</v>
      </c>
      <c r="AB111" s="217">
        <f t="shared" ref="AB111:AB115" si="190">AA111/$AA$124</f>
        <v>1.165680839382789E-2</v>
      </c>
    </row>
    <row r="112" spans="1:28" ht="17" x14ac:dyDescent="0.2">
      <c r="A112" s="215" t="s">
        <v>524</v>
      </c>
      <c r="B112" s="207">
        <f>SUM('L Girl  '!H24:H46)</f>
        <v>0.60761498495443078</v>
      </c>
      <c r="C112" s="217">
        <f t="shared" si="177"/>
        <v>0.17679816474128357</v>
      </c>
      <c r="D112">
        <f>SUM('L Girl  '!K24:K46)</f>
        <v>0.98081255248313215</v>
      </c>
      <c r="E112" s="217">
        <f t="shared" si="178"/>
        <v>0.18425185743463737</v>
      </c>
      <c r="F112">
        <f>SUM('L Girl  '!N24:N46)</f>
        <v>0.53961249492115748</v>
      </c>
      <c r="G112" s="217">
        <f t="shared" si="179"/>
        <v>0.16121089987912043</v>
      </c>
      <c r="H112">
        <f>SUM('L Girl  '!Q24:Q46)</f>
        <v>0.79054066049638338</v>
      </c>
      <c r="I112" s="217">
        <f t="shared" si="180"/>
        <v>0.16310953537625117</v>
      </c>
      <c r="J112" s="207">
        <f t="shared" ref="J112:J122" si="191">(B112+F112)/2</f>
        <v>0.57361373993779408</v>
      </c>
      <c r="K112" s="217">
        <f t="shared" si="181"/>
        <v>0.16910738213349066</v>
      </c>
      <c r="L112">
        <f t="shared" si="182"/>
        <v>0.88567660648975777</v>
      </c>
      <c r="M112" s="217">
        <f t="shared" si="183"/>
        <v>0.17417602905939675</v>
      </c>
      <c r="P112" s="203" t="s">
        <v>524</v>
      </c>
      <c r="Q112" s="207">
        <f>SUM('L Mother '!H24:H46)</f>
        <v>0.6379957342021525</v>
      </c>
      <c r="R112" s="217">
        <f t="shared" si="184"/>
        <v>0.17002298368968644</v>
      </c>
      <c r="S112">
        <f>SUM('L Mother '!K24:K46)</f>
        <v>1.0298531801072888</v>
      </c>
      <c r="T112" s="217">
        <f t="shared" si="185"/>
        <v>0.1810675732187004</v>
      </c>
      <c r="U112">
        <f>SUM('L Mother '!N24:N46)</f>
        <v>0.56659311966721537</v>
      </c>
      <c r="V112" s="217">
        <f t="shared" si="186"/>
        <v>0.1539691180175074</v>
      </c>
      <c r="W112">
        <f>SUM('L Mother '!Q24:Q46)</f>
        <v>0.83006769352120258</v>
      </c>
      <c r="X112" s="217">
        <f t="shared" si="187"/>
        <v>0.16322468064969034</v>
      </c>
      <c r="Y112" s="207">
        <f t="shared" ref="Y112:Y122" si="192">(Q112+U112)/2</f>
        <v>0.60229442693468394</v>
      </c>
      <c r="Z112" s="217">
        <f t="shared" si="188"/>
        <v>0.16207434538853349</v>
      </c>
      <c r="AA112">
        <f t="shared" si="189"/>
        <v>0.92996043681424567</v>
      </c>
      <c r="AB112" s="217">
        <f t="shared" si="190"/>
        <v>0.17264485787202019</v>
      </c>
    </row>
    <row r="113" spans="1:28" ht="17" x14ac:dyDescent="0.2">
      <c r="A113" s="215" t="s">
        <v>399</v>
      </c>
      <c r="B113" s="207">
        <f>SUM('L Girl  '!H49:H58)</f>
        <v>0.37433651126175727</v>
      </c>
      <c r="C113" s="217">
        <f t="shared" si="177"/>
        <v>0.10892096117691527</v>
      </c>
      <c r="D113">
        <f>SUM('L Girl  '!K49:K58)</f>
        <v>0.5633225553016552</v>
      </c>
      <c r="E113" s="217">
        <f t="shared" si="178"/>
        <v>0.10582371410967563</v>
      </c>
      <c r="F113">
        <f>SUM('L Girl  '!N49:N58)</f>
        <v>0.32007766602072246</v>
      </c>
      <c r="G113" s="217">
        <f t="shared" si="179"/>
        <v>9.5624191537574552E-2</v>
      </c>
      <c r="H113">
        <f>SUM('L Girl  '!Q49:Q58)</f>
        <v>0.51282168093351588</v>
      </c>
      <c r="I113" s="217">
        <f t="shared" si="180"/>
        <v>0.10580873355130425</v>
      </c>
      <c r="J113" s="207">
        <f t="shared" si="191"/>
        <v>0.34720708864123984</v>
      </c>
      <c r="K113" s="217">
        <f t="shared" si="181"/>
        <v>0.10236031275101312</v>
      </c>
      <c r="L113">
        <f t="shared" si="182"/>
        <v>0.5380721181175856</v>
      </c>
      <c r="M113" s="217">
        <f t="shared" si="183"/>
        <v>0.10581657480233282</v>
      </c>
      <c r="P113" s="203" t="s">
        <v>399</v>
      </c>
      <c r="Q113" s="207">
        <f>SUM('L Mother '!H49:H58)</f>
        <v>0.39305333682484517</v>
      </c>
      <c r="R113" s="217">
        <f t="shared" si="184"/>
        <v>0.10474694029062681</v>
      </c>
      <c r="S113">
        <f>SUM('L Mother '!K49:K58)</f>
        <v>0.59148868306673807</v>
      </c>
      <c r="T113" s="217">
        <f t="shared" si="185"/>
        <v>0.10399484363204257</v>
      </c>
      <c r="U113">
        <f>SUM('L Mother '!N49:N58)</f>
        <v>0.3360815493217586</v>
      </c>
      <c r="V113" s="217">
        <f t="shared" si="186"/>
        <v>9.1328641197445812E-2</v>
      </c>
      <c r="W113">
        <f>SUM('L Mother '!Q49:Q58)</f>
        <v>0.53846276498019174</v>
      </c>
      <c r="X113" s="217">
        <f t="shared" si="187"/>
        <v>0.1058834279922449</v>
      </c>
      <c r="Y113" s="207">
        <f t="shared" si="192"/>
        <v>0.36456744307330191</v>
      </c>
      <c r="Z113" s="217">
        <f t="shared" si="188"/>
        <v>9.8103231648338951E-2</v>
      </c>
      <c r="AA113">
        <f t="shared" si="189"/>
        <v>0.56497572402346496</v>
      </c>
      <c r="AB113" s="217">
        <f t="shared" si="190"/>
        <v>0.10488634754110072</v>
      </c>
    </row>
    <row r="114" spans="1:28" ht="17" x14ac:dyDescent="0.2">
      <c r="A114" s="9" t="s">
        <v>400</v>
      </c>
      <c r="B114" s="207">
        <f>SUM('L Girl  '!H61:H69)</f>
        <v>0.57655999999999996</v>
      </c>
      <c r="C114" s="217">
        <f t="shared" si="177"/>
        <v>0.16776207366064094</v>
      </c>
      <c r="D114">
        <f>SUM('L Girl  '!K61:K69)</f>
        <v>0.78680000000000017</v>
      </c>
      <c r="E114" s="217">
        <f t="shared" si="178"/>
        <v>0.14780536919368789</v>
      </c>
      <c r="F114">
        <f>SUM('L Girl  '!N61:N69)</f>
        <v>0.59496000000000004</v>
      </c>
      <c r="G114" s="217">
        <f t="shared" si="179"/>
        <v>0.17774613800611763</v>
      </c>
      <c r="H114">
        <f>SUM('L Girl  '!Q61:Q69)</f>
        <v>0.7720800000000001</v>
      </c>
      <c r="I114" s="217">
        <f t="shared" si="180"/>
        <v>0.15930061079239347</v>
      </c>
      <c r="J114" s="207">
        <f t="shared" si="191"/>
        <v>0.58576000000000006</v>
      </c>
      <c r="K114" s="217">
        <f t="shared" si="181"/>
        <v>0.17268822774234058</v>
      </c>
      <c r="L114">
        <f t="shared" si="182"/>
        <v>0.77944000000000013</v>
      </c>
      <c r="M114" s="217">
        <f t="shared" si="183"/>
        <v>0.15328367385486114</v>
      </c>
      <c r="P114" s="203" t="s">
        <v>400</v>
      </c>
      <c r="Q114" s="207">
        <f>SUM('L Mother '!H61:H69)</f>
        <v>0.60538799999999993</v>
      </c>
      <c r="R114" s="217">
        <f t="shared" si="184"/>
        <v>0.1613331696937616</v>
      </c>
      <c r="S114">
        <f>SUM('L Mother '!K61:K69)</f>
        <v>0.82613999999999999</v>
      </c>
      <c r="T114" s="217">
        <f t="shared" si="185"/>
        <v>0.1452509618150748</v>
      </c>
      <c r="U114">
        <f>SUM('L Mother '!N61:N69)</f>
        <v>0.62470800000000004</v>
      </c>
      <c r="V114" s="217">
        <f t="shared" si="186"/>
        <v>0.1697615739403526</v>
      </c>
      <c r="W114">
        <f>SUM('L Mother '!Q61:Q69)</f>
        <v>0.81068399999999996</v>
      </c>
      <c r="X114" s="217">
        <f t="shared" si="187"/>
        <v>0.15941306719996276</v>
      </c>
      <c r="Y114" s="207">
        <f t="shared" si="192"/>
        <v>0.61504800000000004</v>
      </c>
      <c r="Z114" s="217">
        <f t="shared" si="188"/>
        <v>0.16550626657771975</v>
      </c>
      <c r="AA114">
        <f t="shared" si="189"/>
        <v>0.81841199999999992</v>
      </c>
      <c r="AB114" s="217">
        <f t="shared" si="190"/>
        <v>0.15193616612851518</v>
      </c>
    </row>
    <row r="115" spans="1:28" ht="17" x14ac:dyDescent="0.2">
      <c r="A115" s="215" t="s">
        <v>156</v>
      </c>
      <c r="B115" s="207">
        <f>SUM('L Girl  '!H72:H106)</f>
        <v>0.77112505250305263</v>
      </c>
      <c r="C115" s="217">
        <f t="shared" si="177"/>
        <v>0.22437480550087197</v>
      </c>
      <c r="D115">
        <f>SUM('L Girl  '!K72:K106)</f>
        <v>1.0146743650793653</v>
      </c>
      <c r="E115" s="217">
        <f t="shared" si="178"/>
        <v>0.19061301365267716</v>
      </c>
      <c r="F115">
        <f>SUM('L Girl  '!N72:N106)</f>
        <v>0.77396136081620837</v>
      </c>
      <c r="G115" s="217">
        <f t="shared" si="179"/>
        <v>0.23122334753771742</v>
      </c>
      <c r="H115">
        <f>SUM('L Girl  '!Q72:Q106)</f>
        <v>0.92958481624966383</v>
      </c>
      <c r="I115" s="217">
        <f t="shared" si="180"/>
        <v>0.19179803778352797</v>
      </c>
      <c r="J115" s="207">
        <f t="shared" si="191"/>
        <v>0.7725432066596305</v>
      </c>
      <c r="K115" s="217">
        <f t="shared" si="181"/>
        <v>0.22775388762024776</v>
      </c>
      <c r="L115">
        <f t="shared" si="182"/>
        <v>0.97212959066451454</v>
      </c>
      <c r="M115" s="217">
        <f t="shared" si="183"/>
        <v>0.19117776239361475</v>
      </c>
      <c r="P115" s="203" t="s">
        <v>156</v>
      </c>
      <c r="Q115" s="207">
        <f>SUM('L Mother '!H72:H106)</f>
        <v>0.80968130512820524</v>
      </c>
      <c r="R115" s="217">
        <f t="shared" si="184"/>
        <v>0.21577641347055956</v>
      </c>
      <c r="S115">
        <f>SUM('L Mother '!K72:K106)</f>
        <v>1.0654080833333333</v>
      </c>
      <c r="T115" s="217">
        <f t="shared" si="185"/>
        <v>0.18731879442917912</v>
      </c>
      <c r="U115">
        <f>SUM('L Mother '!N72:N106)</f>
        <v>0.81265942885701881</v>
      </c>
      <c r="V115" s="217">
        <f t="shared" si="186"/>
        <v>0.22083652477675247</v>
      </c>
      <c r="W115">
        <f>SUM('L Mother '!Q72:Q106)</f>
        <v>0.97606405706214683</v>
      </c>
      <c r="X115" s="217">
        <f t="shared" si="187"/>
        <v>0.19193343537052207</v>
      </c>
      <c r="Y115" s="207">
        <f t="shared" si="192"/>
        <v>0.81117036699261202</v>
      </c>
      <c r="Z115" s="217">
        <f t="shared" si="188"/>
        <v>0.21828179101375178</v>
      </c>
      <c r="AA115">
        <f t="shared" si="189"/>
        <v>1.0207360701977399</v>
      </c>
      <c r="AB115" s="217">
        <f t="shared" si="190"/>
        <v>0.1894971299723508</v>
      </c>
    </row>
    <row r="116" spans="1:28" s="83" customFormat="1" ht="17" x14ac:dyDescent="0.2">
      <c r="A116" s="226" t="s">
        <v>525</v>
      </c>
      <c r="B116" s="224">
        <f>SUM('L Girl  '!H72:H78,'L Girl  '!H84:H86)</f>
        <v>8.1484957264957289E-2</v>
      </c>
      <c r="C116" s="222">
        <f>B116/$B$115</f>
        <v>0.10567022430468204</v>
      </c>
      <c r="D116" s="225">
        <f>SUM('L Girl  '!K72:K78,'L Girl  '!K84:K86)</f>
        <v>0.18928166666666668</v>
      </c>
      <c r="E116" s="222">
        <f>D116/$D$115</f>
        <v>0.18654424826418231</v>
      </c>
      <c r="F116" s="225">
        <f>SUM('L Girl  '!N72:N78,'L Girl  '!N84:N86)</f>
        <v>7.8558957264957291E-2</v>
      </c>
      <c r="G116" s="222">
        <f>F116/$F$115</f>
        <v>0.10150242795339312</v>
      </c>
      <c r="H116" s="225">
        <f>SUM('L Girl  '!Q72:Q78,'L Girl  '!Q84:Q86)</f>
        <v>0.14944066666666669</v>
      </c>
      <c r="I116" s="222">
        <f>H116/$H$115</f>
        <v>0.16076065793498351</v>
      </c>
      <c r="J116" s="233">
        <f t="shared" si="191"/>
        <v>8.0021957264957283E-2</v>
      </c>
      <c r="K116" s="222">
        <f>J116/$J$115</f>
        <v>0.10358250072634916</v>
      </c>
      <c r="L116" s="85">
        <f t="shared" si="182"/>
        <v>0.16936116666666667</v>
      </c>
      <c r="M116" s="222">
        <f>L116/$L$115</f>
        <v>0.17421665618767676</v>
      </c>
      <c r="P116" s="226" t="s">
        <v>525</v>
      </c>
      <c r="Q116" s="224">
        <f>SUM('L Mother '!H72:H78,'L Mother '!H84:H86)</f>
        <v>8.555920512820514E-2</v>
      </c>
      <c r="R116" s="222">
        <f>Q116/$Q$115</f>
        <v>0.10567022430468204</v>
      </c>
      <c r="S116" s="225">
        <f>SUM('L Mother '!K72:K79,'L Mother '!K84:K86)</f>
        <v>0.19874575</v>
      </c>
      <c r="T116" s="222">
        <f>S116/$S$115</f>
        <v>0.18654424826418234</v>
      </c>
      <c r="U116" s="225">
        <f>SUM('L Mother '!N72:N78,'L Mother '!N84:N86)</f>
        <v>8.248690512820514E-2</v>
      </c>
      <c r="V116" s="222">
        <f>U116/$U$115</f>
        <v>0.10150242795339311</v>
      </c>
      <c r="W116" s="225">
        <f>SUM('L Mother '!Q72:Q78,'L Mother '!Q84:Q86)</f>
        <v>0.15691270000000002</v>
      </c>
      <c r="X116" s="222">
        <f>W116/$W$115</f>
        <v>0.16076065793498351</v>
      </c>
      <c r="Y116" s="233">
        <f t="shared" si="192"/>
        <v>8.402305512820514E-2</v>
      </c>
      <c r="Z116" s="222">
        <f>Y116/$Y$115</f>
        <v>0.10358250072634914</v>
      </c>
      <c r="AA116" s="85">
        <f t="shared" si="189"/>
        <v>0.17782922500000001</v>
      </c>
      <c r="AB116" s="222">
        <f>AA116/$AA$115</f>
        <v>0.17421665618767682</v>
      </c>
    </row>
    <row r="117" spans="1:28" s="83" customFormat="1" ht="17" x14ac:dyDescent="0.2">
      <c r="A117" s="226" t="s">
        <v>170</v>
      </c>
      <c r="B117" s="224">
        <f>SUM('L Girl  '!H81)</f>
        <v>4.1392000000000005E-2</v>
      </c>
      <c r="C117" s="222">
        <f t="shared" ref="C117:C119" si="193">B117/$B$115</f>
        <v>5.367741570014177E-2</v>
      </c>
      <c r="D117" s="225">
        <f>SUM('L Girl  '!K81)</f>
        <v>8.2853333333333334E-2</v>
      </c>
      <c r="E117" s="222">
        <f t="shared" ref="E117:E119" si="194">D117/$D$115</f>
        <v>8.1655096634724533E-2</v>
      </c>
      <c r="F117" s="225">
        <f>SUM('L Girl  '!N81)</f>
        <v>4.1392000000000005E-2</v>
      </c>
      <c r="G117" s="222">
        <f t="shared" ref="G117:G119" si="195">F117/$F$115</f>
        <v>5.3480706008822723E-2</v>
      </c>
      <c r="H117" s="225">
        <f>SUM('L Girl  '!Q81)</f>
        <v>6.6352000000000008E-2</v>
      </c>
      <c r="I117" s="222">
        <f t="shared" ref="I117:I118" si="196">H117/$H$115</f>
        <v>7.137810218081217E-2</v>
      </c>
      <c r="J117" s="233">
        <f t="shared" si="191"/>
        <v>4.1392000000000005E-2</v>
      </c>
      <c r="K117" s="222">
        <f t="shared" ref="K117:K119" si="197">J117/$J$115</f>
        <v>5.3578880304925941E-2</v>
      </c>
      <c r="L117" s="85">
        <f t="shared" si="182"/>
        <v>7.4602666666666678E-2</v>
      </c>
      <c r="M117" s="222">
        <f t="shared" ref="M117:M119" si="198">L117/$L$115</f>
        <v>7.6741483216934941E-2</v>
      </c>
      <c r="P117" s="226" t="s">
        <v>170</v>
      </c>
      <c r="Q117" s="224">
        <f>SUM('L Mother '!H81)</f>
        <v>4.3461600000000003E-2</v>
      </c>
      <c r="R117" s="222">
        <f t="shared" ref="R117:R119" si="199">Q117/$Q$115</f>
        <v>5.367741570014177E-2</v>
      </c>
      <c r="S117" s="225">
        <f>SUM('L Mother '!K81)</f>
        <v>8.6996000000000004E-2</v>
      </c>
      <c r="T117" s="222">
        <f t="shared" ref="T117:T119" si="200">S117/$S$115</f>
        <v>8.1655096634724561E-2</v>
      </c>
      <c r="U117" s="225">
        <f>SUM('L Mother '!N81)</f>
        <v>4.3461600000000003E-2</v>
      </c>
      <c r="V117" s="222">
        <f t="shared" ref="V117:V119" si="201">U117/$U$115</f>
        <v>5.3480706008822716E-2</v>
      </c>
      <c r="W117" s="225">
        <f>SUM('L Mother '!Q81)</f>
        <v>6.9669599999999998E-2</v>
      </c>
      <c r="X117" s="222">
        <f t="shared" ref="X117:X119" si="202">W117/$W$115</f>
        <v>7.137810218081217E-2</v>
      </c>
      <c r="Y117" s="233">
        <f t="shared" si="192"/>
        <v>4.3461600000000003E-2</v>
      </c>
      <c r="Z117" s="222">
        <f t="shared" ref="Z117:Z119" si="203">Y117/$Y$115</f>
        <v>5.3578880304925934E-2</v>
      </c>
      <c r="AA117" s="85">
        <f t="shared" si="189"/>
        <v>7.8332800000000008E-2</v>
      </c>
      <c r="AB117" s="222">
        <f t="shared" ref="AB117:AB119" si="204">AA117/$AA$115</f>
        <v>7.6741483216934969E-2</v>
      </c>
    </row>
    <row r="118" spans="1:28" s="83" customFormat="1" ht="17" x14ac:dyDescent="0.2">
      <c r="A118" s="223" t="s">
        <v>526</v>
      </c>
      <c r="B118" s="224">
        <f>SUM('L Girl  '!H89:H98)</f>
        <v>0.31964809523809529</v>
      </c>
      <c r="C118" s="222">
        <f t="shared" si="193"/>
        <v>0.4145217357425045</v>
      </c>
      <c r="D118" s="225">
        <f>SUM('L Girl  '!K89:K98)</f>
        <v>0.34893936507936513</v>
      </c>
      <c r="E118" s="222">
        <f t="shared" si="194"/>
        <v>0.34389295431945988</v>
      </c>
      <c r="F118" s="225">
        <f>SUM('L Girl  '!N89:N98)</f>
        <v>0.32541040355125106</v>
      </c>
      <c r="G118" s="222">
        <f t="shared" si="195"/>
        <v>0.42044786733032513</v>
      </c>
      <c r="H118" s="225">
        <f>SUM('L Girl  '!Q89:Q98)</f>
        <v>0.35219214958299705</v>
      </c>
      <c r="I118" s="222">
        <f t="shared" si="196"/>
        <v>0.37887037678163499</v>
      </c>
      <c r="J118" s="233">
        <f t="shared" si="191"/>
        <v>0.3225292493946732</v>
      </c>
      <c r="K118" s="222">
        <f t="shared" si="197"/>
        <v>0.41749024082322189</v>
      </c>
      <c r="L118" s="85">
        <f t="shared" si="182"/>
        <v>0.35056575733118112</v>
      </c>
      <c r="M118" s="222">
        <f t="shared" si="198"/>
        <v>0.36061628068696722</v>
      </c>
      <c r="P118" s="223" t="s">
        <v>526</v>
      </c>
      <c r="Q118" s="224">
        <f>SUM('L Mother '!H89:H98)</f>
        <v>0.3356305</v>
      </c>
      <c r="R118" s="222">
        <f t="shared" si="199"/>
        <v>0.41452173574250445</v>
      </c>
      <c r="S118" s="225">
        <f>SUM('L Mother '!K89:K98)</f>
        <v>0.36638633333333331</v>
      </c>
      <c r="T118" s="222">
        <f t="shared" si="200"/>
        <v>0.34389295431945993</v>
      </c>
      <c r="U118" s="225">
        <f>SUM('L Mother '!N89:N98)</f>
        <v>0.34168092372881353</v>
      </c>
      <c r="V118" s="222">
        <f t="shared" si="201"/>
        <v>0.42044786733032502</v>
      </c>
      <c r="W118" s="225">
        <f>SUM('L Mother '!Q89:Q98)</f>
        <v>0.36980175706214691</v>
      </c>
      <c r="X118" s="222">
        <f t="shared" si="202"/>
        <v>0.37887037678163504</v>
      </c>
      <c r="Y118" s="233">
        <f t="shared" si="192"/>
        <v>0.33865571186440679</v>
      </c>
      <c r="Z118" s="222">
        <f t="shared" si="203"/>
        <v>0.41749024082322178</v>
      </c>
      <c r="AA118" s="85">
        <f t="shared" si="189"/>
        <v>0.36809404519774014</v>
      </c>
      <c r="AB118" s="222">
        <f t="shared" si="204"/>
        <v>0.36061628068696727</v>
      </c>
    </row>
    <row r="119" spans="1:28" s="83" customFormat="1" ht="17" x14ac:dyDescent="0.2">
      <c r="A119" s="226" t="s">
        <v>205</v>
      </c>
      <c r="B119" s="224">
        <f>SUM('L Girl  '!H102:H106)</f>
        <v>0.3286</v>
      </c>
      <c r="C119" s="222">
        <f t="shared" si="193"/>
        <v>0.42613062425267162</v>
      </c>
      <c r="D119" s="225">
        <f>SUM('L Girl  '!K102:K106)</f>
        <v>0.39360000000000001</v>
      </c>
      <c r="E119" s="222">
        <f t="shared" si="194"/>
        <v>0.38790770078163311</v>
      </c>
      <c r="F119" s="225">
        <f>SUM('L Girl  '!N102:N106)</f>
        <v>0.3286</v>
      </c>
      <c r="G119" s="222">
        <f t="shared" si="195"/>
        <v>0.42456899870745901</v>
      </c>
      <c r="H119" s="225">
        <f>SUM('L Girl  '!Q102:Q106)</f>
        <v>0.36159999999999998</v>
      </c>
      <c r="I119" s="222">
        <f>H119/$H$115</f>
        <v>0.38899086310256925</v>
      </c>
      <c r="J119" s="233">
        <f t="shared" si="191"/>
        <v>0.3286</v>
      </c>
      <c r="K119" s="222">
        <f t="shared" si="197"/>
        <v>0.42534837814550303</v>
      </c>
      <c r="L119" s="85">
        <f t="shared" si="182"/>
        <v>0.37759999999999999</v>
      </c>
      <c r="M119" s="222">
        <f t="shared" si="198"/>
        <v>0.38842557990842103</v>
      </c>
      <c r="P119" s="226" t="s">
        <v>205</v>
      </c>
      <c r="Q119" s="224">
        <f>SUM('L Mother '!H102:H106)</f>
        <v>0.34503</v>
      </c>
      <c r="R119" s="222">
        <f t="shared" si="199"/>
        <v>0.42613062425267162</v>
      </c>
      <c r="S119" s="225">
        <f>SUM('L Mother '!K102:K106)</f>
        <v>0.41327999999999998</v>
      </c>
      <c r="T119" s="222">
        <f t="shared" si="200"/>
        <v>0.38790770078163322</v>
      </c>
      <c r="U119" s="225">
        <f>SUM('L Mother '!N102:N106)</f>
        <v>0.34503</v>
      </c>
      <c r="V119" s="222">
        <f t="shared" si="201"/>
        <v>0.42456899870745901</v>
      </c>
      <c r="W119" s="225">
        <f>SUM('L Mother '!Q102:Q106)</f>
        <v>0.37968000000000002</v>
      </c>
      <c r="X119" s="222">
        <f t="shared" si="202"/>
        <v>0.38899086310256936</v>
      </c>
      <c r="Y119" s="233">
        <f t="shared" si="192"/>
        <v>0.34503</v>
      </c>
      <c r="Z119" s="222">
        <f t="shared" si="203"/>
        <v>0.42534837814550303</v>
      </c>
      <c r="AA119" s="85">
        <f t="shared" si="189"/>
        <v>0.39648</v>
      </c>
      <c r="AB119" s="222">
        <f t="shared" si="204"/>
        <v>0.38842557990842114</v>
      </c>
    </row>
    <row r="120" spans="1:28" ht="17" x14ac:dyDescent="0.2">
      <c r="A120" s="203" t="s">
        <v>413</v>
      </c>
      <c r="B120" s="207">
        <f>SUM('L Girl  '!H109:H117)</f>
        <v>0.28613119999999997</v>
      </c>
      <c r="C120" s="217">
        <f>B120/$B$124</f>
        <v>8.3255798964561506E-2</v>
      </c>
      <c r="D120">
        <f>SUM('L Girl  '!K109:K117)</f>
        <v>0.44988373333333331</v>
      </c>
      <c r="E120" s="217">
        <f>D120/$D$124</f>
        <v>8.4513512073675578E-2</v>
      </c>
      <c r="F120">
        <f>SUM('L Girl  '!N109:N117)</f>
        <v>0.21866453333333333</v>
      </c>
      <c r="G120" s="217">
        <f>F120/$F$124</f>
        <v>6.5326704852275735E-2</v>
      </c>
      <c r="H120">
        <f>SUM('L Girl  '!Q109:Q117)</f>
        <v>0.29777706666666665</v>
      </c>
      <c r="I120" s="217">
        <f>H120/$H$124</f>
        <v>6.1439317946284398E-2</v>
      </c>
      <c r="J120" s="207">
        <f t="shared" si="191"/>
        <v>0.25239786666666664</v>
      </c>
      <c r="K120" s="217">
        <f>J120/$J$124</f>
        <v>7.4409553879770274E-2</v>
      </c>
      <c r="L120">
        <f t="shared" si="182"/>
        <v>0.37383040000000001</v>
      </c>
      <c r="M120" s="217">
        <f>L120/$L$124</f>
        <v>7.3517008506918141E-2</v>
      </c>
      <c r="P120" s="203" t="s">
        <v>413</v>
      </c>
      <c r="Q120" s="207">
        <f>SUM('L Mother '!H109:H118)</f>
        <v>0.30043776</v>
      </c>
      <c r="R120" s="217">
        <f>Q120/$Q$124</f>
        <v>8.0065307070000771E-2</v>
      </c>
      <c r="S120">
        <f>SUM('L Mother '!K109:K117)</f>
        <v>0.47237792000000006</v>
      </c>
      <c r="T120" s="217">
        <f>S120/$S$124</f>
        <v>8.3052929552139429E-2</v>
      </c>
      <c r="U120">
        <f>SUM('L Mother '!N109:N117)</f>
        <v>0.22959776000000001</v>
      </c>
      <c r="V120" s="217">
        <f>U120/$U$124</f>
        <v>6.2392152991124376E-2</v>
      </c>
      <c r="W120">
        <f>SUM('L Mother '!Q109:Q117)</f>
        <v>0.31266592000000004</v>
      </c>
      <c r="X120" s="217">
        <f>W120/$W$124</f>
        <v>6.1482690315953187E-2</v>
      </c>
      <c r="Y120" s="207">
        <f t="shared" si="192"/>
        <v>0.26501775999999999</v>
      </c>
      <c r="Z120" s="217">
        <f>Y120/$Y$124</f>
        <v>7.1314921818118507E-2</v>
      </c>
      <c r="AA120">
        <f t="shared" si="189"/>
        <v>0.39252192000000008</v>
      </c>
      <c r="AB120" s="217">
        <f>AA120/$AA$124</f>
        <v>7.2870724825886912E-2</v>
      </c>
    </row>
    <row r="121" spans="1:28" ht="34" x14ac:dyDescent="0.2">
      <c r="A121" s="203" t="s">
        <v>414</v>
      </c>
      <c r="B121" s="207">
        <f>SUM('L Girl  '!H120:H122)</f>
        <v>9.1346666666666687E-2</v>
      </c>
      <c r="C121" s="217">
        <f t="shared" ref="C121:C122" si="205">B121/$B$124</f>
        <v>2.6579204630892451E-2</v>
      </c>
      <c r="D121">
        <f>SUM('L Girl  '!K120:K122)</f>
        <v>0.251224</v>
      </c>
      <c r="E121" s="217">
        <f t="shared" ref="E121:E122" si="206">D121/$D$124</f>
        <v>4.7194021441681541E-2</v>
      </c>
      <c r="F121">
        <f>SUM('L Girl  '!N120:N122)</f>
        <v>9.3826666666666669E-2</v>
      </c>
      <c r="G121" s="217">
        <f t="shared" ref="G121:G122" si="207">F121/$F$124</f>
        <v>2.8031006524787093E-2</v>
      </c>
      <c r="H121">
        <f>SUM('L Girl  '!Q120:Q123)</f>
        <v>0.20617066666666667</v>
      </c>
      <c r="I121" s="217">
        <f t="shared" ref="I121:I122" si="208">H121/$H$124</f>
        <v>4.2538484519058839E-2</v>
      </c>
      <c r="J121" s="207">
        <f t="shared" si="191"/>
        <v>9.2586666666666678E-2</v>
      </c>
      <c r="K121" s="217">
        <f t="shared" ref="K121:K122" si="209">J121/$J$124</f>
        <v>2.7295526118610875E-2</v>
      </c>
      <c r="L121">
        <f t="shared" si="182"/>
        <v>0.22869733333333334</v>
      </c>
      <c r="M121" s="217">
        <f t="shared" ref="M121:M122" si="210">L121/$L$124</f>
        <v>4.4975325174667867E-2</v>
      </c>
      <c r="P121" s="203" t="s">
        <v>414</v>
      </c>
      <c r="Q121" s="207">
        <f>SUM('L Mother '!H120:H122)</f>
        <v>9.5914000000000013E-2</v>
      </c>
      <c r="R121" s="217">
        <f t="shared" ref="R121:R122" si="211">Q121/$Q$124</f>
        <v>2.5560648109984759E-2</v>
      </c>
      <c r="S121">
        <f>SUM('L Mother '!K120:K122)</f>
        <v>0.2637852</v>
      </c>
      <c r="T121" s="217">
        <f t="shared" ref="T121:T122" si="212">S121/$S$124</f>
        <v>4.6378403191446815E-2</v>
      </c>
      <c r="U121">
        <f>SUM('L Mother '!N120:N122)</f>
        <v>9.8518000000000022E-2</v>
      </c>
      <c r="V121" s="217">
        <f t="shared" ref="V121:V122" si="213">U121/$U$124</f>
        <v>2.6771820981091422E-2</v>
      </c>
      <c r="W121">
        <f>SUM('L Mother '!Q120:Q122)</f>
        <v>0.21647919999999998</v>
      </c>
      <c r="X121" s="217">
        <f t="shared" ref="X121:X122" si="214">W121/$W$124</f>
        <v>4.2568514065892724E-2</v>
      </c>
      <c r="Y121" s="207">
        <f t="shared" si="192"/>
        <v>9.7216000000000025E-2</v>
      </c>
      <c r="Z121" s="217">
        <f t="shared" ref="Z121:Z122" si="215">Y121/$Y$124</f>
        <v>2.616032766811632E-2</v>
      </c>
      <c r="AA121">
        <f t="shared" si="189"/>
        <v>0.24013219999999999</v>
      </c>
      <c r="AB121" s="217">
        <f t="shared" ref="AB121:AB122" si="216">AA121/$AA$124</f>
        <v>4.4579949746589534E-2</v>
      </c>
    </row>
    <row r="122" spans="1:28" ht="17" x14ac:dyDescent="0.2">
      <c r="A122" s="212" t="s">
        <v>618</v>
      </c>
      <c r="B122" s="209">
        <f>SUM('L Girl  '!H125:H128)</f>
        <v>0.24696960000000001</v>
      </c>
      <c r="C122" s="218">
        <f t="shared" si="205"/>
        <v>7.1860920332903824E-2</v>
      </c>
      <c r="D122" s="210">
        <f>SUM('L Girl  '!K125:K128)</f>
        <v>0.58957142857142864</v>
      </c>
      <c r="E122" s="218">
        <f t="shared" si="206"/>
        <v>0.11075473140067359</v>
      </c>
      <c r="F122" s="210">
        <f>SUM('L Girl  '!N125:N128)</f>
        <v>0.24721499999999999</v>
      </c>
      <c r="G122" s="218">
        <f t="shared" si="207"/>
        <v>7.3856244969716225E-2</v>
      </c>
      <c r="H122" s="210">
        <f>SUM('L Girl  '!Q125:Q128)</f>
        <v>0.61614285714285721</v>
      </c>
      <c r="I122" s="218">
        <f t="shared" si="208"/>
        <v>0.12712663646024708</v>
      </c>
      <c r="J122" s="209">
        <f t="shared" si="191"/>
        <v>0.24709229999999999</v>
      </c>
      <c r="K122" s="218">
        <f t="shared" si="209"/>
        <v>7.284541685294102E-2</v>
      </c>
      <c r="L122" s="210">
        <f t="shared" si="182"/>
        <v>0.60285714285714298</v>
      </c>
      <c r="M122" s="218">
        <f t="shared" si="210"/>
        <v>0.1185571149373752</v>
      </c>
      <c r="P122" s="216" t="s">
        <v>619</v>
      </c>
      <c r="Q122" s="209">
        <f>SUM('L Mother '!H125:H129)</f>
        <v>0.40311622857142854</v>
      </c>
      <c r="R122" s="218">
        <f t="shared" si="211"/>
        <v>0.10742865552409937</v>
      </c>
      <c r="S122" s="210">
        <f>SUM('L Mother '!K125:K129)</f>
        <v>0.71734571428571425</v>
      </c>
      <c r="T122" s="218">
        <f t="shared" si="212"/>
        <v>0.12612287863306684</v>
      </c>
      <c r="U122" s="210">
        <f>SUM('L Mother '!N125:N129)</f>
        <v>0.4248817857142857</v>
      </c>
      <c r="V122" s="218">
        <f t="shared" si="213"/>
        <v>0.11545970386395685</v>
      </c>
      <c r="W122" s="210">
        <f>SUM('L Mother '!Q125:Q129)</f>
        <v>0.64336000000000004</v>
      </c>
      <c r="X122" s="218">
        <f t="shared" si="214"/>
        <v>0.12651044169339479</v>
      </c>
      <c r="Y122" s="209">
        <f t="shared" si="192"/>
        <v>0.41399900714285709</v>
      </c>
      <c r="Z122" s="218">
        <f t="shared" si="215"/>
        <v>0.11140501235529097</v>
      </c>
      <c r="AA122" s="210">
        <f t="shared" si="189"/>
        <v>0.6803528571428572</v>
      </c>
      <c r="AB122" s="218">
        <f t="shared" si="216"/>
        <v>0.12630582729586945</v>
      </c>
    </row>
    <row r="123" spans="1:28" x14ac:dyDescent="0.2">
      <c r="C123" s="83"/>
      <c r="E123" s="83"/>
      <c r="G123" s="83"/>
      <c r="I123" s="83"/>
      <c r="R123" s="83"/>
      <c r="T123" s="83"/>
      <c r="V123" s="83"/>
      <c r="X123" s="83"/>
    </row>
    <row r="124" spans="1:28" ht="18" thickBot="1" x14ac:dyDescent="0.25">
      <c r="A124" s="213" t="s">
        <v>529</v>
      </c>
      <c r="B124" s="214">
        <f>SUM(B110:B115,B120:B122)</f>
        <v>3.4367720153859072</v>
      </c>
      <c r="C124" s="214">
        <f>SUM(C110:C115,C120:C122)</f>
        <v>1.0000000000000002</v>
      </c>
      <c r="D124" s="214">
        <f t="shared" ref="D124:G124" si="217">SUM(D110:D115,D120:D122)</f>
        <v>5.3232166347689143</v>
      </c>
      <c r="E124" s="214">
        <f t="shared" si="217"/>
        <v>1</v>
      </c>
      <c r="F124" s="214">
        <f t="shared" si="217"/>
        <v>3.3472457217580889</v>
      </c>
      <c r="G124" s="214">
        <f t="shared" si="217"/>
        <v>0.99999999999999989</v>
      </c>
      <c r="H124" s="214">
        <f>SUM(H110:H115,H120:H122)</f>
        <v>4.8466857481557541</v>
      </c>
      <c r="I124" s="214">
        <f>SUM(I110:I115,I120:I122)</f>
        <v>1</v>
      </c>
      <c r="J124" s="227">
        <f t="shared" ref="J124" si="218">SUM(J110:J115,J120:J122)</f>
        <v>3.3920088685719976</v>
      </c>
      <c r="K124" s="214">
        <f>SUM(K110:K115,K120:K122)</f>
        <v>1</v>
      </c>
      <c r="L124" s="227">
        <f t="shared" ref="L124:M124" si="219">SUM(L110:L115,L120:L122)</f>
        <v>5.0849511914623351</v>
      </c>
      <c r="M124" s="214">
        <f t="shared" si="219"/>
        <v>0.99999999999999978</v>
      </c>
      <c r="P124" s="213" t="s">
        <v>529</v>
      </c>
      <c r="Q124" s="214">
        <f>SUM(Q110:Q115,Q120:Q122)</f>
        <v>3.7524087647266313</v>
      </c>
      <c r="R124" s="214">
        <f>SUM(R110:R115,R120:R122)</f>
        <v>1</v>
      </c>
      <c r="S124" s="214">
        <f t="shared" ref="S124:T124" si="220">SUM(S110:S115,S120:S122)</f>
        <v>5.6876731807930749</v>
      </c>
      <c r="T124" s="214">
        <f t="shared" si="220"/>
        <v>0.99999999999999978</v>
      </c>
      <c r="U124" s="214">
        <f>SUM(U110:U115,U120:U122)</f>
        <v>3.6799140435602782</v>
      </c>
      <c r="V124" s="214">
        <f t="shared" ref="V124" si="221">SUM(V110:V115,V120:V122)</f>
        <v>1</v>
      </c>
      <c r="W124" s="214">
        <f>SUM(W110:W115,W120:W122)</f>
        <v>5.085430035563542</v>
      </c>
      <c r="X124" s="214">
        <f>SUM(X110:X115,X120:X122)</f>
        <v>0.99999999999999978</v>
      </c>
      <c r="Y124" s="227">
        <f t="shared" ref="Y124" si="222">SUM(Y110:Y115,Y120:Y122)</f>
        <v>3.7161614041434552</v>
      </c>
      <c r="Z124" s="214">
        <f>SUM(Z110:Z115,Z120:Z122)</f>
        <v>1</v>
      </c>
      <c r="AA124" s="227">
        <f t="shared" ref="AA124" si="223">SUM(AA110:AA115,AA120:AA122)</f>
        <v>5.3865516081783076</v>
      </c>
      <c r="AB124" s="214">
        <f>SUM(AB110:AB115,AB120:AB122)</f>
        <v>1</v>
      </c>
    </row>
    <row r="125" spans="1:28" ht="17" thickTop="1" x14ac:dyDescent="0.2"/>
    <row r="127" spans="1:28" x14ac:dyDescent="0.2">
      <c r="B127" s="462" t="s">
        <v>627</v>
      </c>
      <c r="C127" s="462"/>
      <c r="D127" s="462"/>
      <c r="E127" s="462"/>
      <c r="F127" s="82"/>
      <c r="G127" s="82"/>
      <c r="H127" s="82"/>
      <c r="I127" s="462" t="s">
        <v>628</v>
      </c>
      <c r="J127" s="462"/>
      <c r="K127" s="462"/>
      <c r="L127" s="462"/>
      <c r="M127" s="82"/>
    </row>
    <row r="128" spans="1:28" x14ac:dyDescent="0.2">
      <c r="A128" s="82"/>
      <c r="B128" s="82"/>
      <c r="C128" s="82"/>
      <c r="D128" s="82"/>
      <c r="E128" s="82"/>
      <c r="F128" s="82"/>
      <c r="G128" s="82"/>
      <c r="H128" s="82"/>
      <c r="I128" s="83">
        <v>30</v>
      </c>
      <c r="J128" s="83" t="s">
        <v>624</v>
      </c>
    </row>
    <row r="129" spans="1:14" x14ac:dyDescent="0.2">
      <c r="A129" s="463" t="s">
        <v>504</v>
      </c>
      <c r="B129" s="458" t="s">
        <v>490</v>
      </c>
      <c r="C129" s="459"/>
      <c r="D129" s="459"/>
      <c r="E129" s="459"/>
      <c r="F129" s="82"/>
      <c r="G129" s="82"/>
      <c r="H129" s="82"/>
      <c r="I129" s="458" t="s">
        <v>490</v>
      </c>
      <c r="J129" s="459"/>
      <c r="K129" s="459"/>
      <c r="L129" s="459"/>
      <c r="M129" s="82"/>
    </row>
    <row r="130" spans="1:14" x14ac:dyDescent="0.2">
      <c r="A130" s="464"/>
      <c r="B130" s="453" t="s">
        <v>483</v>
      </c>
      <c r="C130" s="454"/>
      <c r="D130" s="454" t="s">
        <v>485</v>
      </c>
      <c r="E130" s="454"/>
      <c r="F130" s="82"/>
      <c r="G130" s="82"/>
      <c r="H130" s="82"/>
      <c r="I130" s="453" t="s">
        <v>483</v>
      </c>
      <c r="J130" s="454"/>
      <c r="K130" s="454" t="s">
        <v>485</v>
      </c>
      <c r="L130" s="454"/>
      <c r="M130" s="82"/>
    </row>
    <row r="131" spans="1:14" x14ac:dyDescent="0.2">
      <c r="A131" s="465"/>
      <c r="B131" s="455" t="s">
        <v>521</v>
      </c>
      <c r="C131" s="456"/>
      <c r="D131" s="456" t="s">
        <v>522</v>
      </c>
      <c r="E131" s="456"/>
      <c r="G131" s="366"/>
      <c r="H131" s="82"/>
      <c r="I131" s="455" t="s">
        <v>625</v>
      </c>
      <c r="J131" s="456"/>
      <c r="K131" s="456" t="s">
        <v>626</v>
      </c>
      <c r="L131" s="456"/>
      <c r="M131" s="82"/>
    </row>
    <row r="132" spans="1:14" x14ac:dyDescent="0.2">
      <c r="A132" s="204"/>
      <c r="B132" s="345" t="s">
        <v>523</v>
      </c>
      <c r="C132" s="346" t="s">
        <v>386</v>
      </c>
      <c r="D132" s="345" t="s">
        <v>523</v>
      </c>
      <c r="E132" s="347" t="s">
        <v>386</v>
      </c>
      <c r="G132" s="366"/>
      <c r="H132" s="82"/>
      <c r="I132" s="345" t="s">
        <v>523</v>
      </c>
      <c r="J132" s="346" t="s">
        <v>386</v>
      </c>
      <c r="K132" s="345" t="s">
        <v>523</v>
      </c>
      <c r="L132" s="347" t="s">
        <v>386</v>
      </c>
      <c r="M132" s="234"/>
    </row>
    <row r="133" spans="1:14" ht="17" x14ac:dyDescent="0.2">
      <c r="A133" s="215" t="s">
        <v>390</v>
      </c>
      <c r="B133" s="207">
        <f>(J8+J70+Y8+Y70)</f>
        <v>2.174436</v>
      </c>
      <c r="C133" s="217">
        <f>B133/$B$147</f>
        <v>0.1234060881769385</v>
      </c>
      <c r="D133">
        <f>(L8+AA8+L70+AA70)</f>
        <v>2.9000159999999999</v>
      </c>
      <c r="E133" s="217">
        <f>D133/$D$147</f>
        <v>0.10479349995054954</v>
      </c>
      <c r="G133" s="83"/>
      <c r="I133" s="488">
        <f t="shared" ref="I133:I145" si="224">(B133)*30</f>
        <v>65.233080000000001</v>
      </c>
      <c r="J133" s="217">
        <f>I133/$I$147</f>
        <v>0.12340608817693849</v>
      </c>
      <c r="K133" s="488">
        <f t="shared" ref="K133:K145" si="225">(D133)*30</f>
        <v>87.000479999999996</v>
      </c>
      <c r="L133" s="217">
        <f>K133/$K$147</f>
        <v>0.10479349995054954</v>
      </c>
      <c r="M133" s="235"/>
    </row>
    <row r="134" spans="1:14" ht="34" x14ac:dyDescent="0.2">
      <c r="A134" s="9" t="s">
        <v>39</v>
      </c>
      <c r="B134" s="207">
        <f>(J9+Y9+J71+Y71)</f>
        <v>0.16920000000000002</v>
      </c>
      <c r="C134" s="217">
        <f t="shared" ref="C134:C145" si="226">B134/$B$147</f>
        <v>9.6026326456782347E-3</v>
      </c>
      <c r="D134">
        <f>(L9+AA9+L71+AA71)</f>
        <v>0.26910000000000001</v>
      </c>
      <c r="E134" s="217">
        <f t="shared" ref="E134:E145" si="227">D134/$D$147</f>
        <v>9.7240604316296466E-3</v>
      </c>
      <c r="G134" s="83"/>
      <c r="I134" s="488">
        <f t="shared" si="224"/>
        <v>5.0760000000000005</v>
      </c>
      <c r="J134" s="217">
        <f t="shared" ref="J134:J145" si="228">I134/$I$147</f>
        <v>9.6026326456782329E-3</v>
      </c>
      <c r="K134" s="488">
        <f t="shared" si="225"/>
        <v>8.0730000000000004</v>
      </c>
      <c r="L134" s="217">
        <f t="shared" ref="L134:L145" si="229">K134/$K$147</f>
        <v>9.7240604316296466E-3</v>
      </c>
      <c r="M134" s="236"/>
    </row>
    <row r="135" spans="1:14" ht="17" x14ac:dyDescent="0.2">
      <c r="A135" s="215" t="s">
        <v>524</v>
      </c>
      <c r="B135" s="207">
        <f>(J10+Y10+J72+Y72)</f>
        <v>2.5812618297200736</v>
      </c>
      <c r="C135" s="217">
        <f t="shared" si="226"/>
        <v>0.14649473471107038</v>
      </c>
      <c r="D135">
        <f>(L10+AA10+L72+AA72)</f>
        <v>3.9855447292039097</v>
      </c>
      <c r="E135" s="217">
        <f t="shared" si="227"/>
        <v>0.14401961278239253</v>
      </c>
      <c r="G135" s="234"/>
      <c r="I135" s="488">
        <f t="shared" si="224"/>
        <v>77.4378548916022</v>
      </c>
      <c r="J135" s="217">
        <f t="shared" si="228"/>
        <v>0.14649473471107036</v>
      </c>
      <c r="K135" s="488">
        <f t="shared" si="225"/>
        <v>119.56634187611729</v>
      </c>
      <c r="L135" s="217">
        <f t="shared" si="229"/>
        <v>0.14401961278239253</v>
      </c>
      <c r="M135" s="238"/>
      <c r="N135" s="82"/>
    </row>
    <row r="136" spans="1:14" ht="17" x14ac:dyDescent="0.2">
      <c r="A136" s="215" t="s">
        <v>399</v>
      </c>
      <c r="B136" s="207">
        <f>(J11+Y11+J73+Y73)</f>
        <v>1.5624318988855797</v>
      </c>
      <c r="C136" s="217">
        <f t="shared" si="226"/>
        <v>8.8672928835033679E-2</v>
      </c>
      <c r="D136">
        <f>(L11+AA11+L73+AA73)</f>
        <v>2.4213245315291352</v>
      </c>
      <c r="E136" s="217">
        <f t="shared" si="227"/>
        <v>8.7495749049337254E-2</v>
      </c>
      <c r="G136" s="83"/>
      <c r="I136" s="488">
        <f t="shared" si="224"/>
        <v>46.872956966567386</v>
      </c>
      <c r="J136" s="217">
        <f t="shared" si="228"/>
        <v>8.8672928835033665E-2</v>
      </c>
      <c r="K136" s="488">
        <f t="shared" si="225"/>
        <v>72.639735945874051</v>
      </c>
      <c r="L136" s="217">
        <f t="shared" si="229"/>
        <v>8.749574904933724E-2</v>
      </c>
      <c r="M136" s="236"/>
    </row>
    <row r="137" spans="1:14" ht="17" x14ac:dyDescent="0.2">
      <c r="A137" s="9" t="s">
        <v>400</v>
      </c>
      <c r="B137" s="207">
        <f>(J12+Y12+J74+Y74)</f>
        <v>2.6359200000000005</v>
      </c>
      <c r="C137" s="217">
        <f t="shared" si="226"/>
        <v>0.14959675793969368</v>
      </c>
      <c r="D137">
        <f>(L12+AA12+L74+AA74)</f>
        <v>3.5074800000000002</v>
      </c>
      <c r="E137" s="217">
        <f t="shared" si="227"/>
        <v>0.12674450941186308</v>
      </c>
      <c r="G137" s="83"/>
      <c r="I137" s="488">
        <f t="shared" si="224"/>
        <v>79.077600000000018</v>
      </c>
      <c r="J137" s="217">
        <f t="shared" si="228"/>
        <v>0.14959675793969368</v>
      </c>
      <c r="K137" s="488">
        <f t="shared" si="225"/>
        <v>105.2244</v>
      </c>
      <c r="L137" s="217">
        <f t="shared" si="229"/>
        <v>0.12674450941186308</v>
      </c>
      <c r="M137" s="237"/>
    </row>
    <row r="138" spans="1:14" ht="17" x14ac:dyDescent="0.2">
      <c r="A138" s="215" t="s">
        <v>156</v>
      </c>
      <c r="B138" s="207">
        <f>(J13+Y13+J75+Y75)</f>
        <v>5.5359052092951915</v>
      </c>
      <c r="C138" s="217">
        <f t="shared" si="226"/>
        <v>0.3141800477905331</v>
      </c>
      <c r="D138">
        <f>(L13+AA13+L75+AA75)</f>
        <v>9.2259647477567306</v>
      </c>
      <c r="E138" s="217">
        <f t="shared" si="227"/>
        <v>0.33338475937298856</v>
      </c>
      <c r="G138" s="234"/>
      <c r="I138" s="488">
        <f t="shared" si="224"/>
        <v>166.07715627885574</v>
      </c>
      <c r="J138" s="217">
        <f t="shared" si="228"/>
        <v>0.31418004779053305</v>
      </c>
      <c r="K138" s="488">
        <f t="shared" si="225"/>
        <v>276.77894243270191</v>
      </c>
      <c r="L138" s="217">
        <f t="shared" si="229"/>
        <v>0.3333847593729885</v>
      </c>
      <c r="M138" s="239"/>
      <c r="N138" s="82"/>
    </row>
    <row r="139" spans="1:14" ht="17" x14ac:dyDescent="0.2">
      <c r="A139" s="226" t="s">
        <v>525</v>
      </c>
      <c r="B139" s="233">
        <f>(J14+Y14+J76+Y76)</f>
        <v>2.8807904615384619</v>
      </c>
      <c r="C139" s="222">
        <f>B139/$B$138</f>
        <v>0.520382909862944</v>
      </c>
      <c r="D139" s="85">
        <f>(L14+AA14+L76+AA76)</f>
        <v>6.0970019999999998</v>
      </c>
      <c r="E139" s="222">
        <f>D139/$D$138</f>
        <v>0.66085251425683911</v>
      </c>
      <c r="G139" s="83"/>
      <c r="H139" s="225"/>
      <c r="I139" s="489">
        <f t="shared" si="224"/>
        <v>86.423713846153859</v>
      </c>
      <c r="J139" s="324">
        <f t="shared" si="228"/>
        <v>0.1634939274901164</v>
      </c>
      <c r="K139" s="489">
        <f t="shared" si="225"/>
        <v>182.91005999999999</v>
      </c>
      <c r="L139" s="324">
        <f t="shared" si="229"/>
        <v>0.22031815644655078</v>
      </c>
      <c r="M139" s="240"/>
    </row>
    <row r="140" spans="1:14" ht="17" x14ac:dyDescent="0.2">
      <c r="A140" s="226" t="s">
        <v>170</v>
      </c>
      <c r="B140" s="233">
        <f>(J15+Y15+J77+Y77)</f>
        <v>0.18626400000000004</v>
      </c>
      <c r="C140" s="222">
        <f t="shared" ref="C140:C142" si="230">B140/$B$138</f>
        <v>3.3646529873244416E-2</v>
      </c>
      <c r="D140" s="85">
        <f>(L15+AA15+L77+AA77)</f>
        <v>0.33571200000000001</v>
      </c>
      <c r="E140" s="222">
        <f t="shared" ref="E140:E142" si="231">D140/$D$138</f>
        <v>3.6387739296492271E-2</v>
      </c>
      <c r="G140" s="83"/>
      <c r="H140" s="225"/>
      <c r="I140" s="489">
        <f t="shared" si="224"/>
        <v>5.5879200000000013</v>
      </c>
      <c r="J140" s="324">
        <f t="shared" si="228"/>
        <v>1.0571068363561529E-2</v>
      </c>
      <c r="K140" s="489">
        <f t="shared" si="225"/>
        <v>10.07136</v>
      </c>
      <c r="L140" s="324">
        <f t="shared" si="229"/>
        <v>1.2131117709488116E-2</v>
      </c>
      <c r="M140" s="241"/>
    </row>
    <row r="141" spans="1:14" ht="17" x14ac:dyDescent="0.2">
      <c r="A141" s="223" t="s">
        <v>526</v>
      </c>
      <c r="B141" s="233">
        <f>(J16+Y16+J78+Y78)</f>
        <v>0.99015074775672984</v>
      </c>
      <c r="C141" s="222">
        <f t="shared" si="230"/>
        <v>0.17885977276023332</v>
      </c>
      <c r="D141" s="85">
        <f>(L16+AA16+L78+AA78)</f>
        <v>1.0940507477567298</v>
      </c>
      <c r="E141" s="222">
        <f t="shared" si="231"/>
        <v>0.11858388555221235</v>
      </c>
      <c r="G141" s="83"/>
      <c r="H141" s="225"/>
      <c r="I141" s="489">
        <f t="shared" si="224"/>
        <v>29.704522432701896</v>
      </c>
      <c r="J141" s="324">
        <f t="shared" si="228"/>
        <v>5.6194171953613987E-2</v>
      </c>
      <c r="K141" s="489">
        <f t="shared" si="225"/>
        <v>32.821522432701897</v>
      </c>
      <c r="L141" s="324">
        <f t="shared" si="229"/>
        <v>3.9534060150338328E-2</v>
      </c>
      <c r="M141" s="241"/>
    </row>
    <row r="142" spans="1:14" ht="17" x14ac:dyDescent="0.2">
      <c r="A142" s="226" t="s">
        <v>205</v>
      </c>
      <c r="B142" s="233">
        <f>(J17+Y17+J79+Y79)</f>
        <v>1.4786999999999999</v>
      </c>
      <c r="C142" s="222">
        <f t="shared" si="230"/>
        <v>0.26711078750357825</v>
      </c>
      <c r="D142" s="85">
        <f>(L17+AA17+L79+AA79)</f>
        <v>1.6991999999999998</v>
      </c>
      <c r="E142" s="222">
        <f t="shared" si="231"/>
        <v>0.18417586089445614</v>
      </c>
      <c r="G142" s="83"/>
      <c r="H142" s="225"/>
      <c r="I142" s="489">
        <f t="shared" si="224"/>
        <v>44.360999999999997</v>
      </c>
      <c r="J142" s="324">
        <f t="shared" si="228"/>
        <v>8.3920879983241145E-2</v>
      </c>
      <c r="K142" s="489">
        <f t="shared" si="225"/>
        <v>50.975999999999992</v>
      </c>
      <c r="L142" s="324">
        <f t="shared" si="229"/>
        <v>6.1401425066611268E-2</v>
      </c>
      <c r="M142" s="241"/>
    </row>
    <row r="143" spans="1:14" ht="17" x14ac:dyDescent="0.2">
      <c r="A143" s="203" t="s">
        <v>413</v>
      </c>
      <c r="B143" s="207">
        <f>(J18+Y18+J80+Y80)</f>
        <v>1.1357903999999999</v>
      </c>
      <c r="C143" s="217">
        <f t="shared" si="226"/>
        <v>6.4459680695555188E-2</v>
      </c>
      <c r="D143">
        <f>(L18+AA18+L80+AA80)</f>
        <v>1.6822368000000001</v>
      </c>
      <c r="E143" s="217">
        <f t="shared" si="227"/>
        <v>6.0788451518064945E-2</v>
      </c>
      <c r="G143" s="83"/>
      <c r="I143" s="488">
        <f t="shared" si="224"/>
        <v>34.073711999999993</v>
      </c>
      <c r="J143" s="217">
        <f t="shared" si="228"/>
        <v>6.4459680695555174E-2</v>
      </c>
      <c r="K143" s="488">
        <f t="shared" si="225"/>
        <v>50.467104000000006</v>
      </c>
      <c r="L143" s="217">
        <f t="shared" si="229"/>
        <v>6.0788451518064945E-2</v>
      </c>
      <c r="M143" s="236"/>
    </row>
    <row r="144" spans="1:14" ht="34" x14ac:dyDescent="0.2">
      <c r="A144" s="203" t="s">
        <v>414</v>
      </c>
      <c r="B144" s="207">
        <f>(J19+Y19+J81+Y81)</f>
        <v>0.41664000000000007</v>
      </c>
      <c r="C144" s="217">
        <f t="shared" si="226"/>
        <v>2.3645631592762291E-2</v>
      </c>
      <c r="D144">
        <f>(L19+AA19+L81+AA81)</f>
        <v>1.0291379999999999</v>
      </c>
      <c r="E144" s="217">
        <f t="shared" si="227"/>
        <v>3.7188406185382647E-2</v>
      </c>
      <c r="G144" s="83"/>
      <c r="I144" s="488">
        <f t="shared" si="224"/>
        <v>12.499200000000002</v>
      </c>
      <c r="J144" s="217">
        <f t="shared" si="228"/>
        <v>2.3645631592762287E-2</v>
      </c>
      <c r="K144" s="488">
        <f t="shared" si="225"/>
        <v>30.874139999999997</v>
      </c>
      <c r="L144" s="217">
        <f t="shared" si="229"/>
        <v>3.7188406185382647E-2</v>
      </c>
      <c r="M144" s="236"/>
    </row>
    <row r="145" spans="1:14" ht="17" x14ac:dyDescent="0.2">
      <c r="A145" s="216" t="s">
        <v>620</v>
      </c>
      <c r="B145" s="209">
        <f>(J20+Y20+J82+Y82)</f>
        <v>1.4085826142857143</v>
      </c>
      <c r="C145" s="218">
        <f t="shared" si="226"/>
        <v>7.9941497612735168E-2</v>
      </c>
      <c r="D145" s="210">
        <f>(L20+AA20+L82+AA82)</f>
        <v>2.6528200000000002</v>
      </c>
      <c r="E145" s="218">
        <f t="shared" si="227"/>
        <v>9.5860951297791749E-2</v>
      </c>
      <c r="G145" s="234"/>
      <c r="I145" s="488">
        <f t="shared" si="224"/>
        <v>42.257478428571432</v>
      </c>
      <c r="J145" s="217">
        <f t="shared" si="228"/>
        <v>7.9941497612735168E-2</v>
      </c>
      <c r="K145" s="488">
        <f t="shared" si="225"/>
        <v>79.584600000000009</v>
      </c>
      <c r="L145" s="217">
        <f t="shared" si="229"/>
        <v>9.5860951297791763E-2</v>
      </c>
      <c r="M145" s="236"/>
      <c r="N145" s="82"/>
    </row>
    <row r="146" spans="1:14" x14ac:dyDescent="0.2">
      <c r="C146" s="83"/>
      <c r="E146" s="83"/>
      <c r="G146" s="83"/>
      <c r="J146" s="83"/>
      <c r="L146" s="83"/>
    </row>
    <row r="147" spans="1:14" ht="18" thickBot="1" x14ac:dyDescent="0.25">
      <c r="A147" s="213" t="s">
        <v>527</v>
      </c>
      <c r="B147" s="214">
        <f>SUM(B133:B138,B143:B145)</f>
        <v>17.620167952186556</v>
      </c>
      <c r="C147" s="214">
        <f>SUM(C133:C138,C143:C145)</f>
        <v>1.0000000000000004</v>
      </c>
      <c r="D147" s="214">
        <f>SUM(D133:D138,D143:D145)</f>
        <v>27.673624808489777</v>
      </c>
      <c r="E147" s="214">
        <f t="shared" ref="E147" si="232">SUM(E133:E138,E143:E145)</f>
        <v>1</v>
      </c>
      <c r="G147" s="83"/>
      <c r="I147" s="490">
        <f>SUM(I133:I138,I143:I145)</f>
        <v>528.60503856559671</v>
      </c>
      <c r="J147" s="214">
        <f>SUM(J133:J138,J143:J145)</f>
        <v>1</v>
      </c>
      <c r="K147" s="490">
        <f>SUM(K133:K138,K143:K145)</f>
        <v>830.20874425469333</v>
      </c>
      <c r="L147" s="214">
        <f t="shared" ref="L147" si="233">SUM(L133:L138,L143:L145)</f>
        <v>0.99999999999999978</v>
      </c>
    </row>
    <row r="148" spans="1:14" ht="17" thickTop="1" x14ac:dyDescent="0.2">
      <c r="G148" s="83"/>
    </row>
    <row r="149" spans="1:14" x14ac:dyDescent="0.2">
      <c r="A149" s="463" t="s">
        <v>528</v>
      </c>
      <c r="B149" s="458" t="s">
        <v>490</v>
      </c>
      <c r="C149" s="459"/>
      <c r="D149" s="459"/>
      <c r="E149" s="459"/>
      <c r="G149" s="83"/>
      <c r="H149" s="82"/>
      <c r="I149" s="458" t="s">
        <v>490</v>
      </c>
      <c r="J149" s="459"/>
      <c r="K149" s="459"/>
      <c r="L149" s="459"/>
      <c r="M149" s="82"/>
    </row>
    <row r="150" spans="1:14" x14ac:dyDescent="0.2">
      <c r="A150" s="464"/>
      <c r="B150" s="453" t="s">
        <v>483</v>
      </c>
      <c r="C150" s="454"/>
      <c r="D150" s="454" t="s">
        <v>485</v>
      </c>
      <c r="E150" s="454"/>
      <c r="G150" s="83"/>
      <c r="H150" s="82"/>
      <c r="I150" s="453" t="s">
        <v>483</v>
      </c>
      <c r="J150" s="454"/>
      <c r="K150" s="454" t="s">
        <v>485</v>
      </c>
      <c r="L150" s="454"/>
      <c r="M150" s="82"/>
    </row>
    <row r="151" spans="1:14" x14ac:dyDescent="0.2">
      <c r="A151" s="465"/>
      <c r="B151" s="455" t="s">
        <v>521</v>
      </c>
      <c r="C151" s="456"/>
      <c r="D151" s="456" t="s">
        <v>522</v>
      </c>
      <c r="E151" s="456"/>
      <c r="G151" s="366"/>
      <c r="H151" s="82"/>
      <c r="I151" s="455" t="s">
        <v>521</v>
      </c>
      <c r="J151" s="456"/>
      <c r="K151" s="456" t="s">
        <v>522</v>
      </c>
      <c r="L151" s="456"/>
      <c r="M151" s="82"/>
    </row>
    <row r="152" spans="1:14" x14ac:dyDescent="0.2">
      <c r="A152" s="202"/>
      <c r="B152" s="345" t="s">
        <v>523</v>
      </c>
      <c r="C152" s="346" t="s">
        <v>386</v>
      </c>
      <c r="D152" s="345" t="s">
        <v>523</v>
      </c>
      <c r="E152" s="346" t="s">
        <v>386</v>
      </c>
      <c r="G152" s="366"/>
      <c r="H152" s="82"/>
      <c r="I152" s="345" t="s">
        <v>523</v>
      </c>
      <c r="J152" s="346" t="s">
        <v>386</v>
      </c>
      <c r="K152" s="345" t="s">
        <v>523</v>
      </c>
      <c r="L152" s="346" t="s">
        <v>386</v>
      </c>
      <c r="M152" s="234"/>
    </row>
    <row r="153" spans="1:14" ht="17" x14ac:dyDescent="0.2">
      <c r="A153" s="203" t="s">
        <v>390</v>
      </c>
      <c r="B153" s="207">
        <f>(J28+Y28+J90+Y90)</f>
        <v>2.174436</v>
      </c>
      <c r="C153" s="217">
        <f>B153/$B$167</f>
        <v>0.13257266299825723</v>
      </c>
      <c r="D153">
        <f>(L28+AA28+L90+AA90)</f>
        <v>2.9000159999999999</v>
      </c>
      <c r="E153" s="217">
        <f>D153/$D$167</f>
        <v>0.1167090075171318</v>
      </c>
      <c r="G153" s="83"/>
      <c r="I153" s="488">
        <f t="shared" ref="I153:I165" si="234">(B153)*30</f>
        <v>65.233080000000001</v>
      </c>
      <c r="J153" s="217">
        <f>I153/$I$167</f>
        <v>0.13257266299825723</v>
      </c>
      <c r="K153" s="488">
        <f t="shared" ref="K153:K165" si="235">(D153)*30</f>
        <v>87.000479999999996</v>
      </c>
      <c r="L153" s="217">
        <f>K153/$K$167</f>
        <v>0.11670900751713181</v>
      </c>
      <c r="M153" s="242"/>
    </row>
    <row r="154" spans="1:14" ht="34" x14ac:dyDescent="0.2">
      <c r="A154" s="9" t="s">
        <v>39</v>
      </c>
      <c r="B154" s="207">
        <f>(J29+Y29+J91+Y91)</f>
        <v>0.16920000000000002</v>
      </c>
      <c r="C154" s="217">
        <f t="shared" ref="C154:C165" si="236">B154/$B$167</f>
        <v>1.0315913910230113E-2</v>
      </c>
      <c r="D154">
        <f>(L29+AA29+L91+AA91)</f>
        <v>0.26910000000000001</v>
      </c>
      <c r="E154" s="217">
        <f t="shared" ref="E154:E165" si="237">D154/$D$167</f>
        <v>1.0829731257641395E-2</v>
      </c>
      <c r="G154" s="83"/>
      <c r="I154" s="488">
        <f t="shared" si="234"/>
        <v>5.0760000000000005</v>
      </c>
      <c r="J154" s="217">
        <f t="shared" ref="J154:J165" si="238">I154/$I$167</f>
        <v>1.0315913910230113E-2</v>
      </c>
      <c r="K154" s="488">
        <f t="shared" si="235"/>
        <v>8.0730000000000004</v>
      </c>
      <c r="L154" s="217">
        <f t="shared" ref="L154:L165" si="239">K154/$K$167</f>
        <v>1.0829731257641396E-2</v>
      </c>
    </row>
    <row r="155" spans="1:14" ht="17" x14ac:dyDescent="0.2">
      <c r="A155" s="203" t="s">
        <v>524</v>
      </c>
      <c r="B155" s="207">
        <f>(J30+Y30+J92+Y92)</f>
        <v>2.5812618297200736</v>
      </c>
      <c r="C155" s="217">
        <f t="shared" si="236"/>
        <v>0.1573763286947715</v>
      </c>
      <c r="D155">
        <f>(L30+AA30+L92+AA92)</f>
        <v>3.9855447292039097</v>
      </c>
      <c r="E155" s="217">
        <f t="shared" si="237"/>
        <v>0.16039531152949643</v>
      </c>
      <c r="G155" s="234"/>
      <c r="I155" s="488">
        <f t="shared" si="234"/>
        <v>77.4378548916022</v>
      </c>
      <c r="J155" s="217">
        <f t="shared" si="238"/>
        <v>0.15737632869477147</v>
      </c>
      <c r="K155" s="488">
        <f t="shared" si="235"/>
        <v>119.56634187611729</v>
      </c>
      <c r="L155" s="217">
        <f t="shared" si="239"/>
        <v>0.16039531152949646</v>
      </c>
      <c r="M155" s="244"/>
    </row>
    <row r="156" spans="1:14" ht="17" x14ac:dyDescent="0.2">
      <c r="A156" s="203" t="s">
        <v>399</v>
      </c>
      <c r="B156" s="207">
        <f>(J31+Y31+J93+Y93)</f>
        <v>1.5624318988855797</v>
      </c>
      <c r="C156" s="217">
        <f t="shared" si="236"/>
        <v>9.5259532857570911E-2</v>
      </c>
      <c r="D156">
        <f>(L31+AA31+L93+AA93)</f>
        <v>2.4213245315291352</v>
      </c>
      <c r="E156" s="217">
        <f t="shared" si="237"/>
        <v>9.74444220141025E-2</v>
      </c>
      <c r="G156" s="83"/>
      <c r="I156" s="488">
        <f t="shared" si="234"/>
        <v>46.872956966567386</v>
      </c>
      <c r="J156" s="217">
        <f t="shared" si="238"/>
        <v>9.5259532857570911E-2</v>
      </c>
      <c r="K156" s="488">
        <f t="shared" si="235"/>
        <v>72.639735945874051</v>
      </c>
      <c r="L156" s="217">
        <f t="shared" si="239"/>
        <v>9.7444422014102514E-2</v>
      </c>
    </row>
    <row r="157" spans="1:14" ht="17" x14ac:dyDescent="0.2">
      <c r="A157" s="9" t="s">
        <v>400</v>
      </c>
      <c r="B157" s="207">
        <f>(J32+Y32+J94+Y94)</f>
        <v>2.6359200000000005</v>
      </c>
      <c r="C157" s="217">
        <f t="shared" si="236"/>
        <v>0.16070876946958487</v>
      </c>
      <c r="D157">
        <f>(L32+AA32+L94+AA94)</f>
        <v>3.5074800000000002</v>
      </c>
      <c r="E157" s="217">
        <f t="shared" si="237"/>
        <v>0.14115594868655534</v>
      </c>
      <c r="G157" s="83"/>
      <c r="I157" s="488">
        <f t="shared" si="234"/>
        <v>79.077600000000018</v>
      </c>
      <c r="J157" s="217">
        <f t="shared" si="238"/>
        <v>0.16070876946958487</v>
      </c>
      <c r="K157" s="488">
        <f t="shared" si="235"/>
        <v>105.2244</v>
      </c>
      <c r="L157" s="217">
        <f t="shared" si="239"/>
        <v>0.14115594868655534</v>
      </c>
      <c r="M157" s="243"/>
    </row>
    <row r="158" spans="1:14" ht="17" x14ac:dyDescent="0.2">
      <c r="A158" s="203" t="s">
        <v>156</v>
      </c>
      <c r="B158" s="207">
        <f>(J33+Y33+J95+Y95)</f>
        <v>4.3268549424912077</v>
      </c>
      <c r="C158" s="217">
        <f t="shared" si="236"/>
        <v>0.26380297333801983</v>
      </c>
      <c r="D158">
        <f>(L33+AA33+L95+AA95)</f>
        <v>6.4236515688648348</v>
      </c>
      <c r="E158" s="217">
        <f t="shared" si="237"/>
        <v>0.25851512517106162</v>
      </c>
      <c r="G158" s="234"/>
      <c r="I158" s="488">
        <f t="shared" si="234"/>
        <v>129.80564827473623</v>
      </c>
      <c r="J158" s="217">
        <f t="shared" si="238"/>
        <v>0.26380297333801983</v>
      </c>
      <c r="K158" s="488">
        <f t="shared" si="235"/>
        <v>192.70954706594503</v>
      </c>
      <c r="L158" s="217">
        <f t="shared" si="239"/>
        <v>0.25851512517106168</v>
      </c>
      <c r="M158" s="245"/>
    </row>
    <row r="159" spans="1:14" ht="17" x14ac:dyDescent="0.2">
      <c r="A159" s="223" t="s">
        <v>525</v>
      </c>
      <c r="B159" s="233">
        <f>(J34+Y34+J96+Y96)</f>
        <v>1.4403952307692309</v>
      </c>
      <c r="C159" s="222">
        <f>B159/$B$158</f>
        <v>0.33289658421964946</v>
      </c>
      <c r="D159" s="85">
        <f>(L34+AA34+L96+AA96)</f>
        <v>3.0485009999999999</v>
      </c>
      <c r="E159" s="222">
        <f>D159/$D$158</f>
        <v>0.47457446396625158</v>
      </c>
      <c r="G159" s="83"/>
      <c r="H159" s="225"/>
      <c r="I159" s="489">
        <f t="shared" si="234"/>
        <v>43.21185692307693</v>
      </c>
      <c r="J159" s="324">
        <f>I159/$I$158</f>
        <v>0.33289658421964952</v>
      </c>
      <c r="K159" s="489">
        <f t="shared" si="235"/>
        <v>91.455029999999994</v>
      </c>
      <c r="L159" s="222">
        <f>K159/$K$158</f>
        <v>0.47457446396625158</v>
      </c>
      <c r="M159" s="246"/>
    </row>
    <row r="160" spans="1:14" ht="17" x14ac:dyDescent="0.2">
      <c r="A160" s="223" t="s">
        <v>170</v>
      </c>
      <c r="B160" s="233">
        <f>(J35+Y35+J97+Y97)</f>
        <v>0.18626400000000004</v>
      </c>
      <c r="C160" s="222">
        <f t="shared" ref="C160:C162" si="240">B160/$B$158</f>
        <v>4.3048357866316091E-2</v>
      </c>
      <c r="D160" s="85">
        <f>(L35+AA35+L97+AA97)</f>
        <v>0.33571200000000001</v>
      </c>
      <c r="E160" s="222">
        <f t="shared" ref="E160:E162" si="241">D160/$D$158</f>
        <v>5.2261863272158433E-2</v>
      </c>
      <c r="G160" s="83"/>
      <c r="H160" s="225"/>
      <c r="I160" s="489">
        <f t="shared" si="234"/>
        <v>5.5879200000000013</v>
      </c>
      <c r="J160" s="324">
        <f t="shared" ref="J160:J162" si="242">I160/$I$158</f>
        <v>4.3048357866316091E-2</v>
      </c>
      <c r="K160" s="489">
        <f t="shared" si="235"/>
        <v>10.07136</v>
      </c>
      <c r="L160" s="222">
        <f t="shared" ref="L160:L162" si="243">K160/$K$158</f>
        <v>5.226186327215844E-2</v>
      </c>
      <c r="M160" s="85"/>
    </row>
    <row r="161" spans="1:14" ht="17" x14ac:dyDescent="0.2">
      <c r="A161" s="223" t="s">
        <v>526</v>
      </c>
      <c r="B161" s="233">
        <f>(J36+Y36+J98+Y98)</f>
        <v>1.2214957117219769</v>
      </c>
      <c r="C161" s="222">
        <f t="shared" si="240"/>
        <v>0.28230567651493649</v>
      </c>
      <c r="D161" s="85">
        <f>(L36+AA36+L98+AA98)</f>
        <v>1.3402385688648342</v>
      </c>
      <c r="E161" s="222">
        <f t="shared" si="241"/>
        <v>0.20864123069204335</v>
      </c>
      <c r="G161" s="83"/>
      <c r="H161" s="225"/>
      <c r="I161" s="489">
        <f t="shared" si="234"/>
        <v>36.644871351659305</v>
      </c>
      <c r="J161" s="324">
        <f t="shared" si="242"/>
        <v>0.28230567651493643</v>
      </c>
      <c r="K161" s="489">
        <f t="shared" si="235"/>
        <v>40.207157065945026</v>
      </c>
      <c r="L161" s="222">
        <f t="shared" si="243"/>
        <v>0.20864123069204338</v>
      </c>
      <c r="M161" s="85"/>
    </row>
    <row r="162" spans="1:14" ht="17" x14ac:dyDescent="0.2">
      <c r="A162" s="223" t="s">
        <v>205</v>
      </c>
      <c r="B162" s="233">
        <f>(J37+Y37+J99+Y99)</f>
        <v>1.4786999999999999</v>
      </c>
      <c r="C162" s="222">
        <f t="shared" si="240"/>
        <v>0.341749381399098</v>
      </c>
      <c r="D162" s="85">
        <f>(L37+AA37+L99+AA99)</f>
        <v>1.6991999999999998</v>
      </c>
      <c r="E162" s="222">
        <f t="shared" si="241"/>
        <v>0.2645224420695465</v>
      </c>
      <c r="G162" s="83"/>
      <c r="H162" s="225"/>
      <c r="I162" s="489">
        <f t="shared" si="234"/>
        <v>44.360999999999997</v>
      </c>
      <c r="J162" s="324">
        <f t="shared" si="242"/>
        <v>0.341749381399098</v>
      </c>
      <c r="K162" s="489">
        <f t="shared" si="235"/>
        <v>50.975999999999992</v>
      </c>
      <c r="L162" s="222">
        <f t="shared" si="243"/>
        <v>0.2645224420695465</v>
      </c>
      <c r="M162" s="85"/>
    </row>
    <row r="163" spans="1:14" ht="17" x14ac:dyDescent="0.2">
      <c r="A163" s="203" t="s">
        <v>413</v>
      </c>
      <c r="B163" s="207">
        <f>(J38+Y38+J100+Y100)</f>
        <v>1.12651568</v>
      </c>
      <c r="C163" s="217">
        <f t="shared" si="236"/>
        <v>6.8682262254162726E-2</v>
      </c>
      <c r="D163">
        <f>(L38+AA38+L100+AA100)</f>
        <v>1.6591872000000001</v>
      </c>
      <c r="E163" s="217">
        <f t="shared" si="237"/>
        <v>6.6772766563056501E-2</v>
      </c>
      <c r="G163" s="83"/>
      <c r="I163" s="488">
        <f t="shared" si="234"/>
        <v>33.795470399999999</v>
      </c>
      <c r="J163" s="217">
        <f t="shared" si="238"/>
        <v>6.8682262254162726E-2</v>
      </c>
      <c r="K163" s="488">
        <f t="shared" si="235"/>
        <v>49.775615999999999</v>
      </c>
      <c r="L163" s="217">
        <f t="shared" si="239"/>
        <v>6.6772766563056515E-2</v>
      </c>
    </row>
    <row r="164" spans="1:14" ht="34" x14ac:dyDescent="0.2">
      <c r="A164" s="203" t="s">
        <v>414</v>
      </c>
      <c r="B164" s="207">
        <f>(J39+Y39+J101+Y101)</f>
        <v>0.41664000000000007</v>
      </c>
      <c r="C164" s="217">
        <f t="shared" si="236"/>
        <v>2.5402023472566634E-2</v>
      </c>
      <c r="D164">
        <f>(L39+AA39+L101+AA101)</f>
        <v>1.0291379999999999</v>
      </c>
      <c r="E164" s="217">
        <f t="shared" si="237"/>
        <v>4.1416900657846707E-2</v>
      </c>
      <c r="G164" s="83"/>
      <c r="I164" s="488">
        <f t="shared" si="234"/>
        <v>12.499200000000002</v>
      </c>
      <c r="J164" s="217">
        <f t="shared" si="238"/>
        <v>2.5402023472566634E-2</v>
      </c>
      <c r="K164" s="488">
        <f t="shared" si="235"/>
        <v>30.874139999999997</v>
      </c>
      <c r="L164" s="217">
        <f t="shared" si="239"/>
        <v>4.1416900657846714E-2</v>
      </c>
    </row>
    <row r="165" spans="1:14" ht="17" x14ac:dyDescent="0.2">
      <c r="A165" s="212" t="s">
        <v>620</v>
      </c>
      <c r="B165" s="209">
        <f>(J40+Y40+J102+Y102)</f>
        <v>1.4085826142857143</v>
      </c>
      <c r="C165" s="218">
        <f t="shared" si="236"/>
        <v>8.5879533004836264E-2</v>
      </c>
      <c r="D165" s="210">
        <f>(L40+AA40+L102+AA102)</f>
        <v>2.6528200000000002</v>
      </c>
      <c r="E165" s="218">
        <f t="shared" si="237"/>
        <v>0.10676078660310757</v>
      </c>
      <c r="G165" s="234"/>
      <c r="I165" s="488">
        <f t="shared" si="234"/>
        <v>42.257478428571432</v>
      </c>
      <c r="J165" s="217">
        <f t="shared" si="238"/>
        <v>8.5879533004836264E-2</v>
      </c>
      <c r="K165" s="488">
        <f t="shared" si="235"/>
        <v>79.584600000000009</v>
      </c>
      <c r="L165" s="217">
        <f t="shared" si="239"/>
        <v>0.10676078660310759</v>
      </c>
      <c r="M165" s="82"/>
    </row>
    <row r="166" spans="1:14" x14ac:dyDescent="0.2">
      <c r="C166" s="83"/>
      <c r="E166" s="83"/>
      <c r="G166" s="83"/>
      <c r="J166" s="83"/>
      <c r="L166" s="83"/>
    </row>
    <row r="167" spans="1:14" ht="18" thickBot="1" x14ac:dyDescent="0.25">
      <c r="A167" s="213" t="s">
        <v>527</v>
      </c>
      <c r="B167" s="214">
        <f t="shared" ref="B167:E167" si="244">SUM(B153:B158,B163:B165)</f>
        <v>16.401842965382574</v>
      </c>
      <c r="C167" s="214">
        <f t="shared" si="244"/>
        <v>1</v>
      </c>
      <c r="D167" s="214">
        <f t="shared" si="244"/>
        <v>24.848262029597883</v>
      </c>
      <c r="E167" s="214">
        <f t="shared" si="244"/>
        <v>1</v>
      </c>
      <c r="G167" s="83"/>
      <c r="I167" s="490">
        <f t="shared" ref="I167:L167" si="245">SUM(I153:I158,I163:I165)</f>
        <v>492.05528896147723</v>
      </c>
      <c r="J167" s="214">
        <f t="shared" si="245"/>
        <v>1</v>
      </c>
      <c r="K167" s="490">
        <f>SUM(K153:K158,K163:K165)</f>
        <v>745.44786088793637</v>
      </c>
      <c r="L167" s="214">
        <f t="shared" si="245"/>
        <v>1</v>
      </c>
    </row>
    <row r="168" spans="1:14" ht="17" thickTop="1" x14ac:dyDescent="0.2">
      <c r="G168" s="83"/>
    </row>
    <row r="169" spans="1:14" x14ac:dyDescent="0.2">
      <c r="A169" s="463" t="s">
        <v>473</v>
      </c>
      <c r="B169" s="458" t="s">
        <v>490</v>
      </c>
      <c r="C169" s="459"/>
      <c r="D169" s="459"/>
      <c r="E169" s="459"/>
      <c r="G169" s="83"/>
      <c r="H169" s="82"/>
      <c r="I169" s="458" t="s">
        <v>490</v>
      </c>
      <c r="J169" s="459"/>
      <c r="K169" s="459"/>
      <c r="L169" s="459"/>
      <c r="M169" s="82"/>
    </row>
    <row r="170" spans="1:14" x14ac:dyDescent="0.2">
      <c r="A170" s="464"/>
      <c r="B170" s="453" t="s">
        <v>483</v>
      </c>
      <c r="C170" s="454"/>
      <c r="D170" s="454" t="s">
        <v>485</v>
      </c>
      <c r="E170" s="454"/>
      <c r="G170" s="83"/>
      <c r="H170" s="82"/>
      <c r="I170" s="453" t="s">
        <v>483</v>
      </c>
      <c r="J170" s="454"/>
      <c r="K170" s="454" t="s">
        <v>485</v>
      </c>
      <c r="L170" s="454"/>
      <c r="M170" s="82"/>
    </row>
    <row r="171" spans="1:14" x14ac:dyDescent="0.2">
      <c r="A171" s="465"/>
      <c r="B171" s="455" t="s">
        <v>521</v>
      </c>
      <c r="C171" s="456"/>
      <c r="D171" s="456" t="s">
        <v>522</v>
      </c>
      <c r="E171" s="456"/>
      <c r="G171" s="365"/>
      <c r="H171" s="82"/>
      <c r="I171" s="455" t="s">
        <v>521</v>
      </c>
      <c r="J171" s="456"/>
      <c r="K171" s="456" t="s">
        <v>522</v>
      </c>
      <c r="L171" s="456"/>
      <c r="M171" s="82"/>
    </row>
    <row r="172" spans="1:14" x14ac:dyDescent="0.2">
      <c r="A172" s="204"/>
      <c r="B172" s="345" t="s">
        <v>523</v>
      </c>
      <c r="C172" s="346" t="s">
        <v>386</v>
      </c>
      <c r="D172" s="345" t="s">
        <v>523</v>
      </c>
      <c r="E172" s="346" t="s">
        <v>386</v>
      </c>
      <c r="G172" s="365"/>
      <c r="H172" s="82"/>
      <c r="I172" s="345" t="s">
        <v>523</v>
      </c>
      <c r="J172" s="346" t="s">
        <v>386</v>
      </c>
      <c r="K172" s="345" t="s">
        <v>523</v>
      </c>
      <c r="L172" s="346" t="s">
        <v>386</v>
      </c>
      <c r="M172" s="234"/>
    </row>
    <row r="173" spans="1:14" ht="17" x14ac:dyDescent="0.2">
      <c r="A173" s="215" t="s">
        <v>390</v>
      </c>
      <c r="B173" s="207">
        <f>(J48+Y48+J110+Y110)</f>
        <v>2.174436</v>
      </c>
      <c r="C173" s="217">
        <f>B173/$B$187</f>
        <v>0.13973889334493453</v>
      </c>
      <c r="D173">
        <f>(L48+AA48+L110+AA110)</f>
        <v>2.9000159999999999</v>
      </c>
      <c r="E173" s="217">
        <f>D173/$D$187</f>
        <v>0.12706971756487229</v>
      </c>
      <c r="G173" s="83"/>
      <c r="I173" s="488">
        <f t="shared" ref="I173:I185" si="246">(B173)*30</f>
        <v>65.233080000000001</v>
      </c>
      <c r="J173" s="217">
        <f>I173/$I$187</f>
        <v>0.13973889334493456</v>
      </c>
      <c r="K173" s="488">
        <f>(D173)*30</f>
        <v>87.000479999999996</v>
      </c>
      <c r="L173" s="217">
        <f>K173/$K$187</f>
        <v>0.12706971756487231</v>
      </c>
      <c r="M173" s="242"/>
    </row>
    <row r="174" spans="1:14" ht="34" x14ac:dyDescent="0.2">
      <c r="A174" s="9" t="s">
        <v>39</v>
      </c>
      <c r="B174" s="207">
        <f>(J49+Y49+J111+Y111)</f>
        <v>0.16920000000000002</v>
      </c>
      <c r="C174" s="217">
        <f t="shared" ref="C174:C185" si="247">B174/$B$187</f>
        <v>1.0873541807605708E-2</v>
      </c>
      <c r="D174">
        <f>(L49+AA49+L111+AA111)</f>
        <v>0.26910000000000001</v>
      </c>
      <c r="E174" s="217">
        <f t="shared" ref="E174:E185" si="248">D174/$D$187</f>
        <v>1.1791128392638914E-2</v>
      </c>
      <c r="G174" s="83"/>
      <c r="I174" s="488">
        <f t="shared" si="246"/>
        <v>5.0760000000000005</v>
      </c>
      <c r="J174" s="217">
        <f t="shared" ref="J174:J178" si="249">I174/$I$187</f>
        <v>1.087354180760571E-2</v>
      </c>
      <c r="K174" s="488">
        <f t="shared" ref="K174:K185" si="250">(D174)*30</f>
        <v>8.0730000000000004</v>
      </c>
      <c r="L174" s="217">
        <f t="shared" ref="L174:L178" si="251">K174/$K$187</f>
        <v>1.1791128392638918E-2</v>
      </c>
    </row>
    <row r="175" spans="1:14" ht="17" x14ac:dyDescent="0.2">
      <c r="A175" s="215" t="s">
        <v>524</v>
      </c>
      <c r="B175" s="207">
        <f>(J50+Y50+J112+Y112)</f>
        <v>2.5812618297200736</v>
      </c>
      <c r="C175" s="217">
        <f t="shared" si="247"/>
        <v>0.1658833240061349</v>
      </c>
      <c r="D175">
        <f>(L50+AA50+L112+AA112)</f>
        <v>3.9855447292039097</v>
      </c>
      <c r="E175" s="217">
        <f t="shared" si="248"/>
        <v>0.17463422377052618</v>
      </c>
      <c r="G175" s="83"/>
      <c r="I175" s="488">
        <f t="shared" si="246"/>
        <v>77.4378548916022</v>
      </c>
      <c r="J175" s="217">
        <f t="shared" si="249"/>
        <v>0.1658833240061349</v>
      </c>
      <c r="K175" s="488">
        <f t="shared" si="250"/>
        <v>119.56634187611729</v>
      </c>
      <c r="L175" s="217">
        <f t="shared" si="251"/>
        <v>0.1746342237705262</v>
      </c>
      <c r="M175" s="244"/>
      <c r="N175" s="82"/>
    </row>
    <row r="176" spans="1:14" ht="17" x14ac:dyDescent="0.2">
      <c r="A176" s="215" t="s">
        <v>399</v>
      </c>
      <c r="B176" s="207">
        <f>(J51+Y51+J113+Y113)</f>
        <v>1.5624318988855797</v>
      </c>
      <c r="C176" s="217">
        <f t="shared" si="247"/>
        <v>0.10040879771908465</v>
      </c>
      <c r="D176">
        <f>(L51+AA51+L113+AA113)</f>
        <v>2.4213245315291352</v>
      </c>
      <c r="E176" s="217">
        <f t="shared" si="248"/>
        <v>0.10609494028802045</v>
      </c>
      <c r="G176" s="83"/>
      <c r="I176" s="488">
        <f t="shared" si="246"/>
        <v>46.872956966567386</v>
      </c>
      <c r="J176" s="217">
        <f t="shared" si="249"/>
        <v>0.10040879771908466</v>
      </c>
      <c r="K176" s="488">
        <f t="shared" si="250"/>
        <v>72.639735945874051</v>
      </c>
      <c r="L176" s="217">
        <f t="shared" si="251"/>
        <v>0.10609494028802047</v>
      </c>
      <c r="M176" s="82"/>
    </row>
    <row r="177" spans="1:14" ht="17" x14ac:dyDescent="0.2">
      <c r="A177" s="9" t="s">
        <v>400</v>
      </c>
      <c r="B177" s="207">
        <f>(J52+Y52+J114+Y114)</f>
        <v>2.6359200000000005</v>
      </c>
      <c r="C177" s="217">
        <f t="shared" si="247"/>
        <v>0.16939590024529574</v>
      </c>
      <c r="D177">
        <f>(L52+AA52+L114+AA114)</f>
        <v>3.5074800000000002</v>
      </c>
      <c r="E177" s="217">
        <f t="shared" si="248"/>
        <v>0.15368690826686415</v>
      </c>
      <c r="G177" s="83"/>
      <c r="I177" s="488">
        <f t="shared" si="246"/>
        <v>79.077600000000018</v>
      </c>
      <c r="J177" s="217">
        <f t="shared" si="249"/>
        <v>0.16939590024529577</v>
      </c>
      <c r="K177" s="488">
        <f t="shared" si="250"/>
        <v>105.2244</v>
      </c>
      <c r="L177" s="217">
        <f t="shared" si="251"/>
        <v>0.15368690826686418</v>
      </c>
      <c r="M177" s="243"/>
    </row>
    <row r="178" spans="1:14" ht="17" x14ac:dyDescent="0.2">
      <c r="A178" s="215" t="s">
        <v>156</v>
      </c>
      <c r="B178" s="207">
        <f>(J53+Y53+J115+Y115)</f>
        <v>3.4764444299683372</v>
      </c>
      <c r="C178" s="217">
        <f t="shared" si="247"/>
        <v>0.22341172488817201</v>
      </c>
      <c r="D178">
        <f>(L53+AA53+L115+AA115)</f>
        <v>4.3745831579903154</v>
      </c>
      <c r="E178" s="217">
        <f t="shared" si="248"/>
        <v>0.19168068257205356</v>
      </c>
      <c r="G178" s="83"/>
      <c r="I178" s="488">
        <f t="shared" si="246"/>
        <v>104.29333289905011</v>
      </c>
      <c r="J178" s="217">
        <f t="shared" si="249"/>
        <v>0.22341172488817204</v>
      </c>
      <c r="K178" s="488">
        <f t="shared" si="250"/>
        <v>131.23749473970946</v>
      </c>
      <c r="L178" s="217">
        <f t="shared" si="251"/>
        <v>0.19168068257205359</v>
      </c>
      <c r="M178" s="245"/>
      <c r="N178" s="82"/>
    </row>
    <row r="179" spans="1:14" ht="17" x14ac:dyDescent="0.2">
      <c r="A179" s="226" t="s">
        <v>525</v>
      </c>
      <c r="B179" s="233">
        <f>(J54+Y54+J116+Y116)</f>
        <v>0.36009880769230773</v>
      </c>
      <c r="C179" s="222">
        <f>B179/$B$178</f>
        <v>0.10358250072634914</v>
      </c>
      <c r="D179" s="85">
        <f>(L54+AA54+L116+AA116)</f>
        <v>0.76212524999999998</v>
      </c>
      <c r="E179" s="222">
        <f>D179/$D$178</f>
        <v>0.17421665618767676</v>
      </c>
      <c r="G179" s="83"/>
      <c r="H179" s="225"/>
      <c r="I179" s="489">
        <f t="shared" si="246"/>
        <v>10.802964230769232</v>
      </c>
      <c r="J179" s="222">
        <f>I179/$I$178</f>
        <v>0.10358250072634916</v>
      </c>
      <c r="K179" s="489">
        <f t="shared" si="250"/>
        <v>22.863757499999998</v>
      </c>
      <c r="L179" s="222">
        <f>K179/$K$178</f>
        <v>0.17421665618767673</v>
      </c>
      <c r="M179" s="246"/>
    </row>
    <row r="180" spans="1:14" ht="17" x14ac:dyDescent="0.2">
      <c r="A180" s="226" t="s">
        <v>170</v>
      </c>
      <c r="B180" s="233">
        <f>(J55+Y55+J117+Y117)</f>
        <v>0.18626400000000004</v>
      </c>
      <c r="C180" s="222">
        <f t="shared" ref="C180:C182" si="252">B180/$B$178</f>
        <v>5.3578880304925941E-2</v>
      </c>
      <c r="D180" s="85">
        <f>(L55+AA55+L117+AA117)</f>
        <v>0.33571200000000001</v>
      </c>
      <c r="E180" s="222">
        <f t="shared" ref="E180:E182" si="253">D180/$D$178</f>
        <v>7.6741483216934928E-2</v>
      </c>
      <c r="G180" s="83"/>
      <c r="H180" s="225"/>
      <c r="I180" s="489">
        <f t="shared" si="246"/>
        <v>5.5879200000000013</v>
      </c>
      <c r="J180" s="222">
        <f t="shared" ref="J180:J182" si="254">I180/$I$178</f>
        <v>5.3578880304925948E-2</v>
      </c>
      <c r="K180" s="489">
        <f t="shared" si="250"/>
        <v>10.07136</v>
      </c>
      <c r="L180" s="222">
        <f t="shared" ref="L180:L182" si="255">K180/$K$178</f>
        <v>7.6741483216934928E-2</v>
      </c>
      <c r="M180" s="85"/>
    </row>
    <row r="181" spans="1:14" ht="17" x14ac:dyDescent="0.2">
      <c r="A181" s="223" t="s">
        <v>526</v>
      </c>
      <c r="B181" s="233">
        <f>(J56+Y56+J118+Y118)</f>
        <v>1.4513816222760294</v>
      </c>
      <c r="C181" s="222">
        <f t="shared" si="252"/>
        <v>0.41749024082322189</v>
      </c>
      <c r="D181" s="85">
        <f>(L56+AA56+L118+AA118)</f>
        <v>1.5775459079903149</v>
      </c>
      <c r="E181" s="222">
        <f t="shared" si="253"/>
        <v>0.36061628068696722</v>
      </c>
      <c r="G181" s="83"/>
      <c r="H181" s="225"/>
      <c r="I181" s="489">
        <f t="shared" si="246"/>
        <v>43.541448668280879</v>
      </c>
      <c r="J181" s="222">
        <f t="shared" si="254"/>
        <v>0.41749024082322184</v>
      </c>
      <c r="K181" s="489">
        <f t="shared" si="250"/>
        <v>47.326377239709444</v>
      </c>
      <c r="L181" s="222">
        <f t="shared" si="255"/>
        <v>0.36061628068696716</v>
      </c>
      <c r="M181" s="85"/>
    </row>
    <row r="182" spans="1:14" ht="17" x14ac:dyDescent="0.2">
      <c r="A182" s="226" t="s">
        <v>205</v>
      </c>
      <c r="B182" s="233">
        <f>(J57+Y57+J119+Y119)</f>
        <v>1.4786999999999999</v>
      </c>
      <c r="C182" s="247">
        <f t="shared" si="252"/>
        <v>0.42534837814550297</v>
      </c>
      <c r="D182" s="85">
        <f>(L57+AA57+L119+AA119)</f>
        <v>1.6991999999999998</v>
      </c>
      <c r="E182" s="247">
        <f t="shared" si="253"/>
        <v>0.38842557990842097</v>
      </c>
      <c r="G182" s="83"/>
      <c r="H182" s="225"/>
      <c r="I182" s="489">
        <f t="shared" si="246"/>
        <v>44.360999999999997</v>
      </c>
      <c r="J182" s="222">
        <f t="shared" si="254"/>
        <v>0.42534837814550303</v>
      </c>
      <c r="K182" s="489">
        <f t="shared" si="250"/>
        <v>50.975999999999992</v>
      </c>
      <c r="L182" s="222">
        <f t="shared" si="255"/>
        <v>0.38842557990842097</v>
      </c>
      <c r="M182" s="85"/>
    </row>
    <row r="183" spans="1:14" ht="17" x14ac:dyDescent="0.2">
      <c r="A183" s="203" t="s">
        <v>413</v>
      </c>
      <c r="B183" s="207">
        <f>(J58+Y58+J120+Y120)</f>
        <v>1.1357903999999999</v>
      </c>
      <c r="C183" s="217">
        <f t="shared" si="247"/>
        <v>7.2990924344427943E-2</v>
      </c>
      <c r="D183">
        <f>(L58+AA58+L120+AA120)</f>
        <v>1.6822368000000001</v>
      </c>
      <c r="E183" s="217">
        <f t="shared" si="248"/>
        <v>7.3710405409223453E-2</v>
      </c>
      <c r="G183" s="83"/>
      <c r="I183" s="488">
        <f t="shared" si="246"/>
        <v>34.073711999999993</v>
      </c>
      <c r="J183" s="217">
        <f>I183/$I$187</f>
        <v>7.2990924344427943E-2</v>
      </c>
      <c r="K183" s="488">
        <f t="shared" si="250"/>
        <v>50.467104000000006</v>
      </c>
      <c r="L183" s="217">
        <f>K183/$K$187</f>
        <v>7.3710405409223481E-2</v>
      </c>
    </row>
    <row r="184" spans="1:14" ht="34" x14ac:dyDescent="0.2">
      <c r="A184" s="203" t="s">
        <v>414</v>
      </c>
      <c r="B184" s="207">
        <f>(J59+Y59+J121+Y121)</f>
        <v>0.41664000000000007</v>
      </c>
      <c r="C184" s="217">
        <f t="shared" si="247"/>
        <v>2.6775132734756752E-2</v>
      </c>
      <c r="D184">
        <f>(L59+AA59+L121+AA121)</f>
        <v>1.0291379999999999</v>
      </c>
      <c r="E184" s="217">
        <f t="shared" si="248"/>
        <v>4.5093639136914256E-2</v>
      </c>
      <c r="G184" s="83"/>
      <c r="I184" s="488">
        <f t="shared" si="246"/>
        <v>12.499200000000002</v>
      </c>
      <c r="J184" s="217">
        <f t="shared" ref="J184:J185" si="256">I184/$I$187</f>
        <v>2.6775132734756756E-2</v>
      </c>
      <c r="K184" s="488">
        <f t="shared" si="250"/>
        <v>30.874139999999997</v>
      </c>
      <c r="L184" s="217">
        <f t="shared" ref="L184:L185" si="257">K184/$K$187</f>
        <v>4.5093639136914263E-2</v>
      </c>
    </row>
    <row r="185" spans="1:14" ht="17" x14ac:dyDescent="0.2">
      <c r="A185" s="216" t="s">
        <v>620</v>
      </c>
      <c r="B185" s="209">
        <f>(J60+Y60+J122+Y122)</f>
        <v>1.4085826142857143</v>
      </c>
      <c r="C185" s="218">
        <f t="shared" si="247"/>
        <v>9.0521760909587815E-2</v>
      </c>
      <c r="D185" s="210">
        <f>(L60+AA60+L122+AA122)</f>
        <v>2.6528200000000002</v>
      </c>
      <c r="E185" s="218">
        <f t="shared" si="248"/>
        <v>0.11623835459888654</v>
      </c>
      <c r="G185" s="83"/>
      <c r="I185" s="488">
        <f t="shared" si="246"/>
        <v>42.257478428571432</v>
      </c>
      <c r="J185" s="217">
        <f t="shared" si="256"/>
        <v>9.0521760909587828E-2</v>
      </c>
      <c r="K185" s="488">
        <f t="shared" si="250"/>
        <v>79.584600000000009</v>
      </c>
      <c r="L185" s="217">
        <f t="shared" si="257"/>
        <v>0.11623835459888657</v>
      </c>
      <c r="M185" s="82"/>
      <c r="N185" s="82"/>
    </row>
    <row r="186" spans="1:14" x14ac:dyDescent="0.2">
      <c r="C186" s="83"/>
      <c r="E186" s="83"/>
      <c r="G186" s="83"/>
      <c r="J186" s="83"/>
      <c r="L186" s="83"/>
    </row>
    <row r="187" spans="1:14" ht="18" thickBot="1" x14ac:dyDescent="0.25">
      <c r="A187" s="213" t="s">
        <v>529</v>
      </c>
      <c r="B187" s="214">
        <f>SUM(B173:B178,B183:B185)</f>
        <v>15.560707172859704</v>
      </c>
      <c r="C187" s="214">
        <f>SUM(C173:C178,C183:C185)</f>
        <v>1</v>
      </c>
      <c r="D187" s="214">
        <f>SUM(D173:D178,D183:D185)</f>
        <v>22.822243218723365</v>
      </c>
      <c r="E187" s="214">
        <f t="shared" ref="E187" si="258">SUM(E173:E178,E183:E185)</f>
        <v>0.99999999999999989</v>
      </c>
      <c r="G187" s="83"/>
      <c r="I187" s="490">
        <f>SUM(I173:I178,I183:I185)</f>
        <v>466.82121518579106</v>
      </c>
      <c r="J187" s="214">
        <f>SUM(J173:J178,J183:J185)</f>
        <v>1.0000000000000002</v>
      </c>
      <c r="K187" s="490">
        <f>SUM(K173:K178,K183:K185)</f>
        <v>684.66729656170082</v>
      </c>
      <c r="L187" s="214">
        <f t="shared" ref="L187" si="259">SUM(L173:L178,L183:L185)</f>
        <v>0.99999999999999989</v>
      </c>
    </row>
    <row r="188" spans="1:14" ht="17" thickTop="1" x14ac:dyDescent="0.2"/>
    <row r="192" spans="1:14" x14ac:dyDescent="0.2">
      <c r="B192" s="454"/>
      <c r="C192" s="454"/>
      <c r="D192" s="454"/>
      <c r="E192" s="454"/>
      <c r="F192" s="454"/>
      <c r="G192" s="454"/>
    </row>
    <row r="193" spans="1:7" x14ac:dyDescent="0.2">
      <c r="B193" s="251"/>
      <c r="C193" s="251"/>
      <c r="D193" s="251"/>
      <c r="E193" s="251"/>
      <c r="F193" s="251"/>
      <c r="G193" s="251"/>
    </row>
    <row r="194" spans="1:7" x14ac:dyDescent="0.2">
      <c r="A194" s="84"/>
      <c r="B194" s="270"/>
      <c r="C194" s="270"/>
      <c r="D194" s="270"/>
      <c r="E194" s="270"/>
      <c r="F194" s="270"/>
      <c r="G194" s="270"/>
    </row>
    <row r="195" spans="1:7" x14ac:dyDescent="0.2">
      <c r="A195" s="84"/>
      <c r="B195" s="270"/>
      <c r="C195" s="270"/>
      <c r="D195" s="270"/>
      <c r="E195" s="270"/>
      <c r="F195" s="270"/>
      <c r="G195" s="270"/>
    </row>
    <row r="196" spans="1:7" x14ac:dyDescent="0.2">
      <c r="A196" s="84"/>
      <c r="B196" s="270"/>
      <c r="C196" s="270"/>
      <c r="D196" s="270"/>
      <c r="E196" s="270"/>
      <c r="F196" s="270"/>
      <c r="G196" s="270"/>
    </row>
    <row r="197" spans="1:7" x14ac:dyDescent="0.2">
      <c r="A197" s="84"/>
      <c r="B197" s="270"/>
      <c r="C197" s="270"/>
      <c r="D197" s="270"/>
      <c r="E197" s="270"/>
      <c r="F197" s="270"/>
      <c r="G197" s="270"/>
    </row>
    <row r="198" spans="1:7" x14ac:dyDescent="0.2">
      <c r="A198" s="84"/>
      <c r="B198" s="270"/>
      <c r="C198" s="270"/>
      <c r="D198" s="270"/>
      <c r="E198" s="270"/>
      <c r="F198" s="270"/>
      <c r="G198" s="270"/>
    </row>
    <row r="199" spans="1:7" x14ac:dyDescent="0.2">
      <c r="A199" s="84"/>
      <c r="B199" s="270"/>
      <c r="C199" s="270"/>
      <c r="D199" s="270"/>
      <c r="E199" s="270"/>
      <c r="F199" s="270"/>
      <c r="G199" s="270"/>
    </row>
    <row r="200" spans="1:7" x14ac:dyDescent="0.2">
      <c r="A200" s="271"/>
      <c r="B200" s="248"/>
      <c r="C200" s="248"/>
      <c r="D200" s="248"/>
      <c r="E200" s="248"/>
      <c r="F200" s="248"/>
      <c r="G200" s="248"/>
    </row>
    <row r="201" spans="1:7" x14ac:dyDescent="0.2">
      <c r="A201" s="271"/>
      <c r="B201" s="248"/>
      <c r="C201" s="248"/>
      <c r="D201" s="248"/>
      <c r="E201" s="248"/>
      <c r="F201" s="248"/>
      <c r="G201" s="248"/>
    </row>
    <row r="202" spans="1:7" x14ac:dyDescent="0.2">
      <c r="A202" s="271"/>
      <c r="B202" s="248"/>
      <c r="C202" s="248"/>
      <c r="D202" s="248"/>
      <c r="E202" s="248"/>
      <c r="F202" s="248"/>
      <c r="G202" s="248"/>
    </row>
    <row r="203" spans="1:7" x14ac:dyDescent="0.2">
      <c r="A203" s="271"/>
      <c r="B203" s="248"/>
      <c r="C203" s="248"/>
      <c r="D203" s="248"/>
      <c r="E203" s="248"/>
      <c r="F203" s="248"/>
      <c r="G203" s="248"/>
    </row>
    <row r="204" spans="1:7" x14ac:dyDescent="0.2">
      <c r="A204" s="84"/>
      <c r="B204" s="270"/>
      <c r="C204" s="270"/>
      <c r="D204" s="270"/>
      <c r="E204" s="270"/>
      <c r="F204" s="270"/>
      <c r="G204" s="270"/>
    </row>
    <row r="205" spans="1:7" x14ac:dyDescent="0.2">
      <c r="A205" s="84"/>
      <c r="B205" s="270"/>
      <c r="C205" s="270"/>
      <c r="D205" s="270"/>
      <c r="E205" s="270"/>
      <c r="F205" s="270"/>
      <c r="G205" s="270"/>
    </row>
    <row r="206" spans="1:7" x14ac:dyDescent="0.2">
      <c r="A206" s="84"/>
      <c r="B206" s="270"/>
      <c r="C206" s="270"/>
      <c r="D206" s="270"/>
      <c r="E206" s="270"/>
      <c r="F206" s="270"/>
      <c r="G206" s="270"/>
    </row>
    <row r="208" spans="1:7" x14ac:dyDescent="0.2">
      <c r="A208" s="84"/>
    </row>
    <row r="211" spans="1:7" x14ac:dyDescent="0.2">
      <c r="B211" s="82"/>
      <c r="C211" s="82"/>
      <c r="D211" s="82"/>
      <c r="E211" s="82"/>
      <c r="F211" s="82"/>
      <c r="G211" s="82"/>
    </row>
    <row r="212" spans="1:7" x14ac:dyDescent="0.2">
      <c r="B212" s="251"/>
      <c r="C212" s="251"/>
      <c r="D212" s="251"/>
      <c r="E212" s="251"/>
      <c r="F212" s="251"/>
      <c r="G212" s="251"/>
    </row>
    <row r="213" spans="1:7" x14ac:dyDescent="0.2">
      <c r="A213" s="84"/>
      <c r="B213" s="270"/>
      <c r="C213" s="270"/>
      <c r="D213" s="270"/>
      <c r="E213" s="270"/>
      <c r="F213" s="270"/>
      <c r="G213" s="270"/>
    </row>
    <row r="214" spans="1:7" x14ac:dyDescent="0.2">
      <c r="A214" s="84"/>
      <c r="B214" s="270"/>
      <c r="C214" s="270"/>
      <c r="D214" s="270"/>
      <c r="E214" s="270"/>
      <c r="F214" s="270"/>
      <c r="G214" s="270"/>
    </row>
    <row r="215" spans="1:7" x14ac:dyDescent="0.2">
      <c r="A215" s="84"/>
      <c r="B215" s="270"/>
      <c r="C215" s="270"/>
      <c r="D215" s="270"/>
      <c r="E215" s="270"/>
      <c r="F215" s="270"/>
      <c r="G215" s="270"/>
    </row>
    <row r="216" spans="1:7" x14ac:dyDescent="0.2">
      <c r="A216" s="84"/>
      <c r="B216" s="270"/>
      <c r="C216" s="270"/>
      <c r="D216" s="270"/>
      <c r="E216" s="270"/>
      <c r="F216" s="270"/>
      <c r="G216" s="270"/>
    </row>
    <row r="217" spans="1:7" x14ac:dyDescent="0.2">
      <c r="A217" s="84"/>
      <c r="B217" s="270"/>
      <c r="C217" s="270"/>
      <c r="D217" s="270"/>
      <c r="E217" s="270"/>
      <c r="F217" s="270"/>
      <c r="G217" s="270"/>
    </row>
    <row r="218" spans="1:7" x14ac:dyDescent="0.2">
      <c r="A218" s="84"/>
      <c r="B218" s="270"/>
      <c r="C218" s="270"/>
      <c r="D218" s="270"/>
      <c r="E218" s="270"/>
      <c r="F218" s="270"/>
      <c r="G218" s="270"/>
    </row>
    <row r="219" spans="1:7" x14ac:dyDescent="0.2">
      <c r="A219" s="84"/>
      <c r="B219" s="270"/>
      <c r="C219" s="270"/>
      <c r="D219" s="270"/>
      <c r="E219" s="270"/>
      <c r="F219" s="270"/>
      <c r="G219" s="270"/>
    </row>
    <row r="220" spans="1:7" x14ac:dyDescent="0.2">
      <c r="A220" s="84"/>
      <c r="B220" s="270"/>
      <c r="C220" s="270"/>
      <c r="D220" s="270"/>
      <c r="E220" s="270"/>
      <c r="F220" s="270"/>
      <c r="G220" s="270"/>
    </row>
    <row r="221" spans="1:7" x14ac:dyDescent="0.2">
      <c r="A221" s="84"/>
      <c r="B221" s="270"/>
      <c r="C221" s="270"/>
      <c r="D221" s="270"/>
      <c r="E221" s="270"/>
      <c r="F221" s="270"/>
      <c r="G221" s="270"/>
    </row>
    <row r="230" spans="1:7" x14ac:dyDescent="0.2">
      <c r="A230" s="84"/>
      <c r="B230" s="270"/>
      <c r="C230" s="270"/>
      <c r="D230" s="270"/>
      <c r="E230" s="270"/>
      <c r="F230" s="270"/>
      <c r="G230" s="270"/>
    </row>
    <row r="231" spans="1:7" x14ac:dyDescent="0.2">
      <c r="A231" s="271"/>
      <c r="B231" s="248"/>
      <c r="C231" s="248"/>
      <c r="D231" s="248"/>
      <c r="E231" s="248"/>
      <c r="F231" s="248"/>
      <c r="G231" s="248"/>
    </row>
    <row r="232" spans="1:7" x14ac:dyDescent="0.2">
      <c r="B232" s="82"/>
      <c r="C232" s="82"/>
      <c r="D232" s="82"/>
      <c r="E232" s="82"/>
      <c r="F232" s="82"/>
      <c r="G232" s="82"/>
    </row>
    <row r="233" spans="1:7" x14ac:dyDescent="0.2">
      <c r="B233" s="251"/>
      <c r="C233" s="251"/>
      <c r="D233" s="251"/>
      <c r="E233" s="251"/>
      <c r="F233" s="251"/>
      <c r="G233" s="251"/>
    </row>
    <row r="234" spans="1:7" x14ac:dyDescent="0.2">
      <c r="A234" s="84"/>
      <c r="B234" s="270"/>
      <c r="C234" s="270"/>
      <c r="D234" s="270"/>
      <c r="E234" s="270"/>
      <c r="F234" s="270"/>
      <c r="G234" s="270"/>
    </row>
    <row r="235" spans="1:7" x14ac:dyDescent="0.2">
      <c r="A235" s="84"/>
      <c r="B235" s="270"/>
      <c r="C235" s="270"/>
      <c r="D235" s="270"/>
      <c r="E235" s="270"/>
      <c r="F235" s="270"/>
      <c r="G235" s="270"/>
    </row>
    <row r="236" spans="1:7" x14ac:dyDescent="0.2">
      <c r="A236" s="84"/>
      <c r="B236" s="270"/>
      <c r="C236" s="270"/>
      <c r="D236" s="270"/>
      <c r="E236" s="270"/>
      <c r="F236" s="270"/>
      <c r="G236" s="270"/>
    </row>
    <row r="237" spans="1:7" x14ac:dyDescent="0.2">
      <c r="A237" s="84"/>
      <c r="B237" s="270"/>
      <c r="C237" s="270"/>
      <c r="D237" s="270"/>
      <c r="E237" s="270"/>
      <c r="F237" s="270"/>
      <c r="G237" s="270"/>
    </row>
    <row r="238" spans="1:7" x14ac:dyDescent="0.2">
      <c r="A238" s="84"/>
      <c r="B238" s="270"/>
      <c r="C238" s="270"/>
      <c r="D238" s="270"/>
      <c r="E238" s="270"/>
      <c r="F238" s="270"/>
      <c r="G238" s="270"/>
    </row>
    <row r="239" spans="1:7" x14ac:dyDescent="0.2">
      <c r="A239" s="84"/>
      <c r="B239" s="270"/>
      <c r="C239" s="270"/>
      <c r="D239" s="270"/>
      <c r="E239" s="270"/>
      <c r="F239" s="270"/>
      <c r="G239" s="270"/>
    </row>
    <row r="240" spans="1:7" x14ac:dyDescent="0.2">
      <c r="A240" s="271"/>
      <c r="B240" s="272"/>
      <c r="C240" s="270"/>
      <c r="D240" s="270"/>
      <c r="E240" s="270"/>
      <c r="F240" s="270"/>
      <c r="G240" s="270"/>
    </row>
    <row r="241" spans="1:7" x14ac:dyDescent="0.2">
      <c r="A241" s="271"/>
      <c r="B241" s="270"/>
      <c r="C241" s="270"/>
      <c r="D241" s="270"/>
      <c r="E241" s="270"/>
      <c r="F241" s="270"/>
      <c r="G241" s="270"/>
    </row>
    <row r="242" spans="1:7" x14ac:dyDescent="0.2">
      <c r="A242" s="271"/>
      <c r="B242" s="270"/>
      <c r="C242" s="270"/>
      <c r="D242" s="270"/>
      <c r="E242" s="270"/>
      <c r="F242" s="270"/>
      <c r="G242" s="270"/>
    </row>
    <row r="243" spans="1:7" x14ac:dyDescent="0.2">
      <c r="A243" s="271"/>
      <c r="B243" s="270"/>
      <c r="C243" s="270"/>
      <c r="D243" s="270"/>
      <c r="E243" s="270"/>
      <c r="F243" s="270"/>
      <c r="G243" s="270"/>
    </row>
    <row r="244" spans="1:7" x14ac:dyDescent="0.2">
      <c r="A244" s="271"/>
      <c r="B244" s="248"/>
      <c r="C244" s="248"/>
      <c r="D244" s="248"/>
      <c r="E244" s="248"/>
      <c r="F244" s="248"/>
      <c r="G244" s="248"/>
    </row>
    <row r="245" spans="1:7" x14ac:dyDescent="0.2">
      <c r="A245" s="271"/>
      <c r="B245" s="248"/>
      <c r="C245" s="248"/>
      <c r="D245" s="248"/>
      <c r="E245" s="248"/>
      <c r="F245" s="248"/>
      <c r="G245" s="248"/>
    </row>
    <row r="246" spans="1:7" x14ac:dyDescent="0.2">
      <c r="A246" s="271"/>
      <c r="B246" s="248"/>
      <c r="C246" s="248"/>
      <c r="D246" s="248"/>
      <c r="E246" s="248"/>
      <c r="F246" s="248"/>
      <c r="G246" s="248"/>
    </row>
    <row r="247" spans="1:7" x14ac:dyDescent="0.2">
      <c r="A247" s="271"/>
      <c r="B247" s="248"/>
      <c r="C247" s="248"/>
      <c r="D247" s="248"/>
      <c r="E247" s="248"/>
      <c r="F247" s="248"/>
      <c r="G247" s="248"/>
    </row>
    <row r="248" spans="1:7" x14ac:dyDescent="0.2">
      <c r="A248" s="84"/>
      <c r="B248" s="270"/>
      <c r="C248" s="270"/>
      <c r="D248" s="270"/>
      <c r="E248" s="270"/>
      <c r="F248" s="270"/>
      <c r="G248" s="270"/>
    </row>
    <row r="249" spans="1:7" x14ac:dyDescent="0.2">
      <c r="A249" s="84"/>
      <c r="B249" s="270"/>
      <c r="C249" s="270"/>
      <c r="D249" s="270"/>
      <c r="E249" s="270"/>
      <c r="F249" s="270"/>
      <c r="G249" s="270"/>
    </row>
    <row r="250" spans="1:7" x14ac:dyDescent="0.2">
      <c r="A250" s="84"/>
      <c r="B250" s="270"/>
      <c r="C250" s="270"/>
      <c r="D250" s="270"/>
      <c r="E250" s="270"/>
      <c r="F250" s="270"/>
      <c r="G250" s="270"/>
    </row>
    <row r="255" spans="1:7" x14ac:dyDescent="0.2">
      <c r="A255" s="204"/>
      <c r="B255" s="467"/>
      <c r="C255" s="467"/>
      <c r="D255" s="467"/>
      <c r="E255" s="467"/>
      <c r="F255" s="467"/>
      <c r="G255" s="468"/>
    </row>
    <row r="256" spans="1:7" x14ac:dyDescent="0.2">
      <c r="A256" s="209"/>
      <c r="B256" s="231"/>
      <c r="C256" s="231"/>
      <c r="D256" s="231"/>
      <c r="E256" s="231"/>
      <c r="F256" s="231"/>
      <c r="G256" s="232"/>
    </row>
    <row r="257" spans="1:7" x14ac:dyDescent="0.2">
      <c r="A257" s="223"/>
      <c r="B257" s="248"/>
      <c r="C257" s="248"/>
      <c r="D257" s="248"/>
      <c r="E257" s="248"/>
      <c r="F257" s="248"/>
      <c r="G257" s="249"/>
    </row>
    <row r="258" spans="1:7" x14ac:dyDescent="0.2">
      <c r="A258" s="223"/>
      <c r="B258" s="248"/>
      <c r="C258" s="248"/>
      <c r="D258" s="248"/>
      <c r="E258" s="248"/>
      <c r="F258" s="248"/>
      <c r="G258" s="249"/>
    </row>
    <row r="259" spans="1:7" x14ac:dyDescent="0.2">
      <c r="A259" s="223"/>
      <c r="B259" s="248"/>
      <c r="C259" s="248"/>
      <c r="D259" s="248"/>
      <c r="E259" s="248"/>
      <c r="F259" s="248"/>
      <c r="G259" s="249"/>
    </row>
    <row r="260" spans="1:7" x14ac:dyDescent="0.2">
      <c r="A260" s="223"/>
      <c r="B260" s="248"/>
      <c r="C260" s="248"/>
      <c r="D260" s="248"/>
      <c r="E260" s="248"/>
      <c r="F260" s="248"/>
      <c r="G260" s="249"/>
    </row>
  </sheetData>
  <mergeCells count="238">
    <mergeCell ref="A3:M3"/>
    <mergeCell ref="A65:M65"/>
    <mergeCell ref="P3:AB3"/>
    <mergeCell ref="P65:AB65"/>
    <mergeCell ref="B1:AB1"/>
    <mergeCell ref="B255:C255"/>
    <mergeCell ref="D255:E255"/>
    <mergeCell ref="F255:G255"/>
    <mergeCell ref="A169:A171"/>
    <mergeCell ref="B170:C170"/>
    <mergeCell ref="D170:E170"/>
    <mergeCell ref="B171:C171"/>
    <mergeCell ref="D171:E171"/>
    <mergeCell ref="A149:A151"/>
    <mergeCell ref="B149:E149"/>
    <mergeCell ref="B150:C150"/>
    <mergeCell ref="D150:E150"/>
    <mergeCell ref="B151:C151"/>
    <mergeCell ref="D151:E151"/>
    <mergeCell ref="B169:E169"/>
    <mergeCell ref="B192:C192"/>
    <mergeCell ref="D192:E192"/>
    <mergeCell ref="F192:G192"/>
    <mergeCell ref="A129:A131"/>
    <mergeCell ref="B130:C130"/>
    <mergeCell ref="D130:E130"/>
    <mergeCell ref="B131:C131"/>
    <mergeCell ref="D131:E131"/>
    <mergeCell ref="A106:A108"/>
    <mergeCell ref="B106:D106"/>
    <mergeCell ref="F106:I106"/>
    <mergeCell ref="B107:C107"/>
    <mergeCell ref="D107:E107"/>
    <mergeCell ref="F107:G107"/>
    <mergeCell ref="H107:I107"/>
    <mergeCell ref="B108:C108"/>
    <mergeCell ref="D108:E108"/>
    <mergeCell ref="F108:G108"/>
    <mergeCell ref="H108:I108"/>
    <mergeCell ref="B127:E127"/>
    <mergeCell ref="B129:E129"/>
    <mergeCell ref="I129:L129"/>
    <mergeCell ref="I130:J130"/>
    <mergeCell ref="K130:L130"/>
    <mergeCell ref="I131:J131"/>
    <mergeCell ref="K131:L131"/>
    <mergeCell ref="J108:K108"/>
    <mergeCell ref="L108:M108"/>
    <mergeCell ref="Q107:R107"/>
    <mergeCell ref="S107:T107"/>
    <mergeCell ref="U107:V107"/>
    <mergeCell ref="W107:X107"/>
    <mergeCell ref="Y107:Z107"/>
    <mergeCell ref="AA107:AB107"/>
    <mergeCell ref="Q108:R108"/>
    <mergeCell ref="S108:T108"/>
    <mergeCell ref="U108:V108"/>
    <mergeCell ref="W108:X108"/>
    <mergeCell ref="Y108:Z108"/>
    <mergeCell ref="AA108:AB108"/>
    <mergeCell ref="J106:M106"/>
    <mergeCell ref="J107:K107"/>
    <mergeCell ref="L107:M107"/>
    <mergeCell ref="Y68:Z68"/>
    <mergeCell ref="AA68:AB68"/>
    <mergeCell ref="P86:P88"/>
    <mergeCell ref="Q86:T86"/>
    <mergeCell ref="U86:X86"/>
    <mergeCell ref="Y86:AB86"/>
    <mergeCell ref="Q87:R87"/>
    <mergeCell ref="S87:T87"/>
    <mergeCell ref="U87:V87"/>
    <mergeCell ref="W87:X87"/>
    <mergeCell ref="Y87:Z87"/>
    <mergeCell ref="AA87:AB87"/>
    <mergeCell ref="Q88:R88"/>
    <mergeCell ref="S88:T88"/>
    <mergeCell ref="U88:V88"/>
    <mergeCell ref="Y88:Z88"/>
    <mergeCell ref="AA88:AB88"/>
    <mergeCell ref="P106:P108"/>
    <mergeCell ref="Q106:S106"/>
    <mergeCell ref="U106:X106"/>
    <mergeCell ref="Y106:AB106"/>
    <mergeCell ref="U66:X66"/>
    <mergeCell ref="Q68:R68"/>
    <mergeCell ref="S68:T68"/>
    <mergeCell ref="U68:V68"/>
    <mergeCell ref="W68:X68"/>
    <mergeCell ref="W88:X88"/>
    <mergeCell ref="L68:M68"/>
    <mergeCell ref="Y66:AB66"/>
    <mergeCell ref="Q67:R67"/>
    <mergeCell ref="S67:T67"/>
    <mergeCell ref="U67:V67"/>
    <mergeCell ref="W67:X67"/>
    <mergeCell ref="Y67:Z67"/>
    <mergeCell ref="AA67:AB67"/>
    <mergeCell ref="L88:M88"/>
    <mergeCell ref="H87:I87"/>
    <mergeCell ref="J87:K87"/>
    <mergeCell ref="L87:M87"/>
    <mergeCell ref="B88:C88"/>
    <mergeCell ref="D88:E88"/>
    <mergeCell ref="F88:G88"/>
    <mergeCell ref="H88:I88"/>
    <mergeCell ref="P66:P68"/>
    <mergeCell ref="Q66:S66"/>
    <mergeCell ref="J88:K88"/>
    <mergeCell ref="Y46:Z46"/>
    <mergeCell ref="AA46:AB46"/>
    <mergeCell ref="Y26:Z26"/>
    <mergeCell ref="AA26:AB26"/>
    <mergeCell ref="P44:P46"/>
    <mergeCell ref="Q44:S44"/>
    <mergeCell ref="U44:X44"/>
    <mergeCell ref="Y44:AB44"/>
    <mergeCell ref="Q45:R45"/>
    <mergeCell ref="S45:T45"/>
    <mergeCell ref="U45:V45"/>
    <mergeCell ref="W45:X45"/>
    <mergeCell ref="Y45:Z45"/>
    <mergeCell ref="AA45:AB45"/>
    <mergeCell ref="Q46:R46"/>
    <mergeCell ref="S46:T46"/>
    <mergeCell ref="U46:V46"/>
    <mergeCell ref="W46:X46"/>
    <mergeCell ref="P24:P26"/>
    <mergeCell ref="U25:V25"/>
    <mergeCell ref="W25:X25"/>
    <mergeCell ref="Y25:Z25"/>
    <mergeCell ref="AA25:AB25"/>
    <mergeCell ref="Q26:R26"/>
    <mergeCell ref="S26:T26"/>
    <mergeCell ref="U26:V26"/>
    <mergeCell ref="W26:X26"/>
    <mergeCell ref="P4:P6"/>
    <mergeCell ref="Q4:S4"/>
    <mergeCell ref="Q24:T24"/>
    <mergeCell ref="U24:X24"/>
    <mergeCell ref="Y24:AB24"/>
    <mergeCell ref="Q25:R25"/>
    <mergeCell ref="S25:T25"/>
    <mergeCell ref="U4:X4"/>
    <mergeCell ref="Q6:R6"/>
    <mergeCell ref="S6:T6"/>
    <mergeCell ref="U6:V6"/>
    <mergeCell ref="W6:X6"/>
    <mergeCell ref="Y4:AB4"/>
    <mergeCell ref="Q5:R5"/>
    <mergeCell ref="S5:T5"/>
    <mergeCell ref="U5:V5"/>
    <mergeCell ref="AA6:AB6"/>
    <mergeCell ref="W5:X5"/>
    <mergeCell ref="Y5:Z5"/>
    <mergeCell ref="AA5:AB5"/>
    <mergeCell ref="Y6:Z6"/>
    <mergeCell ref="A4:A6"/>
    <mergeCell ref="B4:D4"/>
    <mergeCell ref="F4:I4"/>
    <mergeCell ref="B5:C5"/>
    <mergeCell ref="D5:E5"/>
    <mergeCell ref="F5:G5"/>
    <mergeCell ref="H5:I5"/>
    <mergeCell ref="J5:K5"/>
    <mergeCell ref="J4:M4"/>
    <mergeCell ref="L5:M5"/>
    <mergeCell ref="J6:K6"/>
    <mergeCell ref="A44:A46"/>
    <mergeCell ref="B44:D44"/>
    <mergeCell ref="F44:I44"/>
    <mergeCell ref="B45:C45"/>
    <mergeCell ref="D45:E45"/>
    <mergeCell ref="F45:G45"/>
    <mergeCell ref="H45:I45"/>
    <mergeCell ref="B46:C46"/>
    <mergeCell ref="D46:E46"/>
    <mergeCell ref="F46:G46"/>
    <mergeCell ref="H46:I46"/>
    <mergeCell ref="A24:A26"/>
    <mergeCell ref="F24:I24"/>
    <mergeCell ref="B25:C25"/>
    <mergeCell ref="D25:E25"/>
    <mergeCell ref="F25:G25"/>
    <mergeCell ref="H25:I25"/>
    <mergeCell ref="B26:C26"/>
    <mergeCell ref="D26:E26"/>
    <mergeCell ref="F26:G26"/>
    <mergeCell ref="B24:E24"/>
    <mergeCell ref="H26:I26"/>
    <mergeCell ref="K151:L151"/>
    <mergeCell ref="I169:L169"/>
    <mergeCell ref="A66:A68"/>
    <mergeCell ref="B66:D66"/>
    <mergeCell ref="F66:I66"/>
    <mergeCell ref="J66:M66"/>
    <mergeCell ref="B67:C67"/>
    <mergeCell ref="D67:E67"/>
    <mergeCell ref="F67:G67"/>
    <mergeCell ref="H67:I67"/>
    <mergeCell ref="J67:K67"/>
    <mergeCell ref="L67:M67"/>
    <mergeCell ref="B68:C68"/>
    <mergeCell ref="D68:E68"/>
    <mergeCell ref="F68:G68"/>
    <mergeCell ref="H68:I68"/>
    <mergeCell ref="J68:K68"/>
    <mergeCell ref="A86:A88"/>
    <mergeCell ref="B86:E86"/>
    <mergeCell ref="F86:I86"/>
    <mergeCell ref="J86:M86"/>
    <mergeCell ref="B87:C87"/>
    <mergeCell ref="D87:E87"/>
    <mergeCell ref="F87:G87"/>
    <mergeCell ref="I170:J170"/>
    <mergeCell ref="K170:L170"/>
    <mergeCell ref="I171:J171"/>
    <mergeCell ref="K171:L171"/>
    <mergeCell ref="J46:K46"/>
    <mergeCell ref="L46:M46"/>
    <mergeCell ref="L6:M6"/>
    <mergeCell ref="B6:C6"/>
    <mergeCell ref="D6:E6"/>
    <mergeCell ref="F6:G6"/>
    <mergeCell ref="H6:I6"/>
    <mergeCell ref="J24:M24"/>
    <mergeCell ref="J25:K25"/>
    <mergeCell ref="L25:M25"/>
    <mergeCell ref="J26:K26"/>
    <mergeCell ref="L26:M26"/>
    <mergeCell ref="J44:M44"/>
    <mergeCell ref="J45:K45"/>
    <mergeCell ref="L45:M45"/>
    <mergeCell ref="I127:L127"/>
    <mergeCell ref="I149:L149"/>
    <mergeCell ref="I150:J150"/>
    <mergeCell ref="K150:L150"/>
    <mergeCell ref="I151:J151"/>
  </mergeCells>
  <pageMargins left="0.7" right="0.7" top="0.78740157499999996" bottom="0.78740157499999996" header="0.3" footer="0.3"/>
  <pageSetup paperSize="9" scale="25"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77B59-9668-FD46-AD46-EA752A104FB5}">
  <sheetPr codeName="Tabelle19">
    <tabColor rgb="FFFFFF00"/>
    <pageSetUpPr fitToPage="1"/>
  </sheetPr>
  <dimension ref="A1:AH91"/>
  <sheetViews>
    <sheetView topLeftCell="A24" workbookViewId="0">
      <selection activeCell="A3" sqref="A3"/>
    </sheetView>
  </sheetViews>
  <sheetFormatPr baseColWidth="10" defaultColWidth="10.83203125" defaultRowHeight="15" x14ac:dyDescent="0.2"/>
  <cols>
    <col min="1" max="1" width="15.5" style="308" customWidth="1"/>
    <col min="2" max="4" width="10.83203125" style="308"/>
    <col min="5" max="5" width="11.6640625" style="308" customWidth="1"/>
    <col min="6" max="6" width="10.83203125" style="308"/>
    <col min="7" max="7" width="14.1640625" style="308" customWidth="1"/>
    <col min="8" max="8" width="16.1640625" style="308" customWidth="1"/>
    <col min="9" max="9" width="13" style="308" customWidth="1"/>
    <col min="10" max="10" width="10.83203125" style="308"/>
    <col min="11" max="12" width="12.83203125" style="308" customWidth="1"/>
    <col min="13" max="14" width="10.83203125" style="308"/>
    <col min="15" max="15" width="14.83203125" style="308" customWidth="1"/>
    <col min="16" max="16" width="10.83203125" style="308"/>
    <col min="17" max="17" width="13.6640625" style="308" customWidth="1"/>
    <col min="18" max="18" width="10.83203125" style="308"/>
    <col min="19" max="19" width="11.83203125" style="308" customWidth="1"/>
    <col min="20" max="20" width="10.83203125" style="308"/>
    <col min="21" max="21" width="11.5" style="308" customWidth="1"/>
    <col min="22" max="22" width="10.83203125" style="308"/>
    <col min="23" max="23" width="17.83203125" style="309" customWidth="1"/>
    <col min="24" max="27" width="10.83203125" style="308"/>
    <col min="28" max="28" width="13.1640625" style="308" customWidth="1"/>
    <col min="29" max="30" width="13.83203125" style="308" customWidth="1"/>
    <col min="31" max="31" width="13.33203125" style="308" customWidth="1"/>
    <col min="32" max="16384" width="10.83203125" style="308"/>
  </cols>
  <sheetData>
    <row r="1" spans="1:16" x14ac:dyDescent="0.2">
      <c r="A1" s="469" t="s">
        <v>644</v>
      </c>
      <c r="B1" s="469"/>
      <c r="C1" s="469"/>
      <c r="D1" s="469"/>
      <c r="E1" s="469"/>
      <c r="F1" s="469"/>
      <c r="G1" s="469"/>
      <c r="H1" s="469"/>
      <c r="I1" s="469"/>
      <c r="J1" s="469"/>
      <c r="K1" s="469"/>
      <c r="L1" s="469"/>
      <c r="M1" s="469"/>
      <c r="N1" s="469"/>
      <c r="O1" s="469"/>
      <c r="P1" s="469"/>
    </row>
    <row r="2" spans="1:16" x14ac:dyDescent="0.2">
      <c r="A2" s="469"/>
      <c r="B2" s="469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</row>
    <row r="3" spans="1:16" x14ac:dyDescent="0.2">
      <c r="A3" s="310"/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</row>
    <row r="4" spans="1:16" x14ac:dyDescent="0.2">
      <c r="A4" s="471" t="s">
        <v>532</v>
      </c>
      <c r="B4" s="471"/>
      <c r="C4" s="471"/>
      <c r="D4" s="471"/>
      <c r="E4" s="471"/>
      <c r="F4" s="471"/>
      <c r="G4" s="471"/>
      <c r="H4" s="471"/>
      <c r="I4" s="471"/>
      <c r="J4" s="471"/>
      <c r="K4" s="471"/>
      <c r="L4" s="471"/>
      <c r="M4" s="306"/>
      <c r="N4" s="306"/>
      <c r="O4" s="306"/>
      <c r="P4" s="306"/>
    </row>
    <row r="5" spans="1:16" x14ac:dyDescent="0.2">
      <c r="A5" s="311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</row>
    <row r="6" spans="1:16" ht="16" customHeight="1" x14ac:dyDescent="0.2">
      <c r="A6" s="470" t="s">
        <v>616</v>
      </c>
      <c r="B6" s="470"/>
      <c r="C6" s="470"/>
      <c r="D6" s="470"/>
      <c r="E6" s="470"/>
      <c r="G6" s="133"/>
      <c r="I6" s="306"/>
      <c r="J6" s="306"/>
      <c r="K6" s="306"/>
      <c r="L6" s="306"/>
    </row>
    <row r="7" spans="1:16" x14ac:dyDescent="0.2">
      <c r="A7" s="133"/>
      <c r="B7" s="133"/>
      <c r="C7" s="133"/>
      <c r="D7" s="133"/>
      <c r="E7" s="133"/>
      <c r="F7" s="133"/>
      <c r="G7" s="133"/>
      <c r="I7" s="311"/>
    </row>
    <row r="8" spans="1:16" ht="16" x14ac:dyDescent="0.2">
      <c r="A8" s="299" t="s">
        <v>532</v>
      </c>
      <c r="B8" s="299" t="s">
        <v>533</v>
      </c>
      <c r="C8" s="299" t="s">
        <v>534</v>
      </c>
      <c r="D8" s="299" t="s">
        <v>535</v>
      </c>
      <c r="E8" s="300" t="s">
        <v>536</v>
      </c>
      <c r="F8" s="474" t="s">
        <v>537</v>
      </c>
      <c r="G8" s="474"/>
      <c r="I8" s="133"/>
      <c r="J8" s="133"/>
      <c r="K8" s="133"/>
      <c r="L8" s="337"/>
      <c r="M8" s="337"/>
      <c r="N8" s="311"/>
    </row>
    <row r="9" spans="1:16" ht="18" customHeight="1" x14ac:dyDescent="0.2">
      <c r="A9" s="135" t="s">
        <v>538</v>
      </c>
      <c r="B9" s="367">
        <v>4.6939009859788277</v>
      </c>
      <c r="C9" s="136">
        <f t="shared" ref="C9:C24" si="0">B9*1000</f>
        <v>4693.9009859788275</v>
      </c>
      <c r="D9" s="136">
        <f>C9/365</f>
        <v>12.860002701311856</v>
      </c>
      <c r="E9" s="338">
        <f t="shared" ref="E9:E24" si="1">D9/$D$25</f>
        <v>4.4051374962075472E-2</v>
      </c>
      <c r="F9" s="143"/>
      <c r="G9" s="136"/>
      <c r="N9" s="135"/>
    </row>
    <row r="10" spans="1:16" ht="16" x14ac:dyDescent="0.2">
      <c r="A10" s="136" t="s">
        <v>278</v>
      </c>
      <c r="B10" s="367">
        <v>2.5266487604339898</v>
      </c>
      <c r="C10" s="136">
        <f t="shared" si="0"/>
        <v>2526.64876043399</v>
      </c>
      <c r="D10" s="136">
        <f>C10/365</f>
        <v>6.9223253710520272</v>
      </c>
      <c r="E10" s="338">
        <f t="shared" si="1"/>
        <v>2.3712121809942869E-2</v>
      </c>
      <c r="F10" s="143"/>
      <c r="G10" s="136"/>
      <c r="N10" s="136"/>
    </row>
    <row r="11" spans="1:16" ht="15" customHeight="1" x14ac:dyDescent="0.2">
      <c r="A11" s="137" t="s">
        <v>539</v>
      </c>
      <c r="B11" s="339">
        <v>0.34044435026426728</v>
      </c>
      <c r="C11" s="137">
        <f t="shared" si="0"/>
        <v>340.44435026426726</v>
      </c>
      <c r="D11" s="137">
        <f t="shared" ref="D11:D23" si="2">C11/365</f>
        <v>0.93272424729936232</v>
      </c>
      <c r="E11" s="339">
        <f t="shared" si="1"/>
        <v>3.1950059815938009E-3</v>
      </c>
      <c r="F11" s="473" t="s">
        <v>540</v>
      </c>
      <c r="G11" s="473"/>
      <c r="N11" s="136"/>
    </row>
    <row r="12" spans="1:16" ht="16" x14ac:dyDescent="0.2">
      <c r="A12" s="136" t="s">
        <v>541</v>
      </c>
      <c r="B12" s="367">
        <v>2.0455449953473055</v>
      </c>
      <c r="C12" s="136">
        <f t="shared" si="0"/>
        <v>2045.5449953473055</v>
      </c>
      <c r="D12" s="136">
        <f t="shared" si="2"/>
        <v>5.6042328639652208</v>
      </c>
      <c r="E12" s="338">
        <f t="shared" si="1"/>
        <v>1.9197053764237099E-2</v>
      </c>
      <c r="F12" s="143"/>
      <c r="G12" s="136"/>
      <c r="N12" s="136"/>
    </row>
    <row r="13" spans="1:16" ht="16" x14ac:dyDescent="0.2">
      <c r="A13" s="135" t="s">
        <v>542</v>
      </c>
      <c r="B13" s="367">
        <v>11.58387333172902</v>
      </c>
      <c r="C13" s="136">
        <f t="shared" si="0"/>
        <v>11583.873331729021</v>
      </c>
      <c r="D13" s="136">
        <f t="shared" si="2"/>
        <v>31.736639265011014</v>
      </c>
      <c r="E13" s="338">
        <f t="shared" si="1"/>
        <v>0.10871246521250827</v>
      </c>
      <c r="F13" s="143"/>
      <c r="G13" s="136"/>
    </row>
    <row r="14" spans="1:16" ht="16" customHeight="1" x14ac:dyDescent="0.2">
      <c r="A14" s="137" t="s">
        <v>543</v>
      </c>
      <c r="B14" s="339">
        <v>0.97746368466870048</v>
      </c>
      <c r="C14" s="137">
        <f t="shared" si="0"/>
        <v>977.46368466870047</v>
      </c>
      <c r="D14" s="137">
        <f t="shared" si="2"/>
        <v>2.677982697722467</v>
      </c>
      <c r="E14" s="339">
        <f t="shared" si="1"/>
        <v>9.1733122223441477E-3</v>
      </c>
      <c r="F14" s="473" t="s">
        <v>540</v>
      </c>
      <c r="G14" s="473"/>
      <c r="I14" s="135"/>
      <c r="J14" s="135"/>
      <c r="K14" s="136"/>
    </row>
    <row r="15" spans="1:16" ht="16" x14ac:dyDescent="0.2">
      <c r="A15" s="135" t="s">
        <v>544</v>
      </c>
      <c r="B15" s="367">
        <v>1.2912274544158369</v>
      </c>
      <c r="C15" s="136">
        <f t="shared" si="0"/>
        <v>1291.227454415837</v>
      </c>
      <c r="D15" s="136">
        <f t="shared" si="2"/>
        <v>3.5376094641529781</v>
      </c>
      <c r="E15" s="338">
        <f t="shared" si="1"/>
        <v>1.2117925990707042E-2</v>
      </c>
      <c r="F15" s="143"/>
      <c r="G15" s="136"/>
      <c r="I15" s="135"/>
      <c r="J15" s="135"/>
      <c r="K15" s="136"/>
    </row>
    <row r="16" spans="1:16" ht="16" x14ac:dyDescent="0.2">
      <c r="A16" s="135" t="s">
        <v>545</v>
      </c>
      <c r="B16" s="367">
        <v>1.7020579428321057</v>
      </c>
      <c r="C16" s="136">
        <f t="shared" si="0"/>
        <v>1702.0579428321057</v>
      </c>
      <c r="D16" s="136">
        <f t="shared" si="2"/>
        <v>4.6631724461153583</v>
      </c>
      <c r="E16" s="338">
        <f t="shared" si="1"/>
        <v>1.5973492596210063E-2</v>
      </c>
      <c r="F16" s="143"/>
      <c r="G16" s="136"/>
      <c r="I16" s="135"/>
      <c r="J16" s="135"/>
      <c r="K16" s="136"/>
    </row>
    <row r="17" spans="1:34" ht="16" x14ac:dyDescent="0.2">
      <c r="A17" s="135" t="s">
        <v>546</v>
      </c>
      <c r="B17" s="367">
        <v>1.5280183949423334</v>
      </c>
      <c r="C17" s="136">
        <f t="shared" si="0"/>
        <v>1528.0183949423333</v>
      </c>
      <c r="D17" s="136">
        <f t="shared" si="2"/>
        <v>4.1863517669652968</v>
      </c>
      <c r="E17" s="338">
        <f t="shared" si="1"/>
        <v>1.4340164282463428E-2</v>
      </c>
      <c r="F17" s="143"/>
      <c r="G17" s="136"/>
      <c r="I17" s="135"/>
      <c r="J17" s="135"/>
      <c r="K17" s="136"/>
    </row>
    <row r="18" spans="1:34" ht="16" x14ac:dyDescent="0.2">
      <c r="A18" s="135" t="s">
        <v>547</v>
      </c>
      <c r="B18" s="367">
        <v>2.4203702359271562</v>
      </c>
      <c r="C18" s="136">
        <f t="shared" si="0"/>
        <v>2420.370235927156</v>
      </c>
      <c r="D18" s="136">
        <f t="shared" si="2"/>
        <v>6.6311513313072767</v>
      </c>
      <c r="E18" s="338">
        <f t="shared" si="1"/>
        <v>2.2714717913386157E-2</v>
      </c>
      <c r="F18" s="143"/>
      <c r="G18" s="136"/>
      <c r="I18" s="135"/>
      <c r="J18" s="135"/>
      <c r="K18" s="136"/>
    </row>
    <row r="19" spans="1:34" ht="16" x14ac:dyDescent="0.2">
      <c r="A19" s="135" t="s">
        <v>548</v>
      </c>
      <c r="B19" s="367">
        <v>3.3350808124886635</v>
      </c>
      <c r="C19" s="136">
        <f t="shared" si="0"/>
        <v>3335.0808124886635</v>
      </c>
      <c r="D19" s="136">
        <f t="shared" si="2"/>
        <v>9.1372077054483931</v>
      </c>
      <c r="E19" s="338">
        <f t="shared" si="1"/>
        <v>3.1299104058353927E-2</v>
      </c>
      <c r="F19" s="143"/>
      <c r="G19" s="136"/>
      <c r="I19" s="135"/>
      <c r="J19" s="135"/>
      <c r="K19" s="136"/>
    </row>
    <row r="20" spans="1:34" ht="19" customHeight="1" x14ac:dyDescent="0.2">
      <c r="A20" s="135" t="s">
        <v>549</v>
      </c>
      <c r="B20" s="367">
        <v>9.0006717152206921</v>
      </c>
      <c r="C20" s="136">
        <f t="shared" si="0"/>
        <v>9000.6717152206929</v>
      </c>
      <c r="D20" s="136">
        <f t="shared" si="2"/>
        <v>24.659374562248473</v>
      </c>
      <c r="E20" s="338">
        <f t="shared" si="1"/>
        <v>8.446960552046083E-2</v>
      </c>
      <c r="F20" s="143"/>
      <c r="G20" s="136"/>
      <c r="I20" s="135"/>
      <c r="J20" s="135"/>
      <c r="K20" s="136"/>
    </row>
    <row r="21" spans="1:34" ht="16" x14ac:dyDescent="0.2">
      <c r="A21" s="135" t="s">
        <v>550</v>
      </c>
      <c r="B21" s="367">
        <v>31.493354386459199</v>
      </c>
      <c r="C21" s="136">
        <f t="shared" si="0"/>
        <v>31493.354386459199</v>
      </c>
      <c r="D21" s="136">
        <f t="shared" si="2"/>
        <v>86.283162702627948</v>
      </c>
      <c r="E21" s="338">
        <f t="shared" si="1"/>
        <v>0.29555918777058249</v>
      </c>
      <c r="F21" s="143"/>
      <c r="G21" s="136"/>
      <c r="I21" s="135"/>
      <c r="J21" s="135"/>
      <c r="K21" s="136"/>
    </row>
    <row r="22" spans="1:34" ht="32" customHeight="1" x14ac:dyDescent="0.2">
      <c r="A22" s="135" t="s">
        <v>551</v>
      </c>
      <c r="B22" s="367">
        <v>7.5420535132744995</v>
      </c>
      <c r="C22" s="136">
        <f t="shared" si="0"/>
        <v>7542.0535132744999</v>
      </c>
      <c r="D22" s="136">
        <f>C22/365</f>
        <v>20.663160310341095</v>
      </c>
      <c r="E22" s="338">
        <f>D22/$D$25</f>
        <v>7.0780748952677677E-2</v>
      </c>
      <c r="F22" s="143"/>
      <c r="G22" s="136"/>
      <c r="M22" s="298"/>
    </row>
    <row r="23" spans="1:34" ht="16" x14ac:dyDescent="0.2">
      <c r="A23" s="135" t="s">
        <v>552</v>
      </c>
      <c r="B23" s="367">
        <v>1.9744421416907414</v>
      </c>
      <c r="C23" s="136">
        <f t="shared" si="0"/>
        <v>1974.4421416907414</v>
      </c>
      <c r="D23" s="136">
        <f t="shared" si="2"/>
        <v>5.4094305251801131</v>
      </c>
      <c r="E23" s="338">
        <f t="shared" si="1"/>
        <v>1.852976690056975E-2</v>
      </c>
      <c r="F23" s="143"/>
      <c r="G23" s="136"/>
      <c r="M23" s="298"/>
    </row>
    <row r="24" spans="1:34" ht="19" customHeight="1" x14ac:dyDescent="0.2">
      <c r="A24" s="135" t="s">
        <v>88</v>
      </c>
      <c r="B24" s="367">
        <v>24.1</v>
      </c>
      <c r="C24" s="136">
        <f t="shared" si="0"/>
        <v>24100</v>
      </c>
      <c r="D24" s="136">
        <f>C24/365</f>
        <v>66.027397260273972</v>
      </c>
      <c r="E24" s="338">
        <f t="shared" si="1"/>
        <v>0.22617395206188687</v>
      </c>
      <c r="F24" s="308" t="s">
        <v>553</v>
      </c>
      <c r="G24" s="136"/>
      <c r="H24" s="472" t="s">
        <v>554</v>
      </c>
      <c r="I24" s="472"/>
      <c r="J24" s="472"/>
      <c r="K24" s="472"/>
      <c r="L24" s="472"/>
      <c r="M24" s="298"/>
      <c r="O24" s="311"/>
      <c r="P24" s="311"/>
      <c r="Q24" s="311"/>
      <c r="R24" s="311"/>
      <c r="W24" s="312"/>
      <c r="X24" s="311"/>
      <c r="Y24" s="311"/>
      <c r="Z24" s="311"/>
      <c r="AE24" s="311"/>
      <c r="AF24" s="311"/>
      <c r="AG24" s="311"/>
      <c r="AH24" s="311"/>
    </row>
    <row r="25" spans="1:34" ht="17" customHeight="1" x14ac:dyDescent="0.2">
      <c r="A25" s="301" t="s">
        <v>555</v>
      </c>
      <c r="B25" s="304">
        <f>SUM(B9:B24)</f>
        <v>106.55515270567332</v>
      </c>
      <c r="C25" s="302">
        <f>SUM(C9:C24)</f>
        <v>106555.15270567335</v>
      </c>
      <c r="D25" s="302">
        <f>SUM(D9:D24)</f>
        <v>291.93192522102288</v>
      </c>
      <c r="E25" s="302">
        <f>SUM(E9:E24)</f>
        <v>0.99999999999999989</v>
      </c>
      <c r="G25" s="298"/>
      <c r="H25" s="308" t="s">
        <v>556</v>
      </c>
      <c r="I25" s="308" t="s">
        <v>533</v>
      </c>
      <c r="J25" s="308" t="s">
        <v>534</v>
      </c>
      <c r="K25" s="308" t="s">
        <v>535</v>
      </c>
      <c r="M25" s="298"/>
      <c r="X25" s="135"/>
      <c r="Y25" s="135"/>
      <c r="Z25" s="135"/>
      <c r="AE25" s="138"/>
      <c r="AF25" s="135"/>
    </row>
    <row r="26" spans="1:34" ht="19" customHeight="1" x14ac:dyDescent="0.2">
      <c r="F26" s="298"/>
      <c r="G26" s="298"/>
      <c r="H26" s="336" t="s">
        <v>557</v>
      </c>
      <c r="I26" s="278">
        <f>B24/4</f>
        <v>6.0250000000000004</v>
      </c>
      <c r="J26" s="297">
        <f>C24/4</f>
        <v>6025</v>
      </c>
      <c r="K26" s="336">
        <f>D24/4</f>
        <v>16.506849315068493</v>
      </c>
      <c r="AE26" s="140"/>
      <c r="AF26" s="135"/>
    </row>
    <row r="27" spans="1:34" ht="16" x14ac:dyDescent="0.2">
      <c r="F27" s="298"/>
      <c r="G27" s="298"/>
      <c r="H27" s="336" t="s">
        <v>287</v>
      </c>
      <c r="I27" s="278">
        <f>B24/4</f>
        <v>6.0250000000000004</v>
      </c>
      <c r="J27" s="297">
        <f>C24/4</f>
        <v>6025</v>
      </c>
      <c r="K27" s="336">
        <f>D24/4</f>
        <v>16.506849315068493</v>
      </c>
      <c r="L27" s="143"/>
      <c r="AE27" s="135"/>
      <c r="AF27" s="135"/>
    </row>
    <row r="28" spans="1:34" ht="16" x14ac:dyDescent="0.2">
      <c r="F28" s="298"/>
      <c r="G28" s="298"/>
      <c r="H28" s="336" t="s">
        <v>558</v>
      </c>
      <c r="I28" s="278">
        <f>B24/4</f>
        <v>6.0250000000000004</v>
      </c>
      <c r="J28" s="297">
        <f>C24/4</f>
        <v>6025</v>
      </c>
      <c r="K28" s="336">
        <f>D24/4</f>
        <v>16.506849315068493</v>
      </c>
      <c r="L28" s="143"/>
      <c r="W28" s="308"/>
      <c r="AE28" s="135"/>
      <c r="AF28" s="135"/>
    </row>
    <row r="29" spans="1:34" ht="16" x14ac:dyDescent="0.2">
      <c r="F29" s="298"/>
      <c r="G29" s="298"/>
      <c r="H29" s="336" t="s">
        <v>559</v>
      </c>
      <c r="I29" s="278">
        <f>B24/4</f>
        <v>6.0250000000000004</v>
      </c>
      <c r="J29" s="297">
        <f>C24/4</f>
        <v>6025</v>
      </c>
      <c r="K29" s="336">
        <f>D24/4</f>
        <v>16.506849315068493</v>
      </c>
      <c r="L29" s="143"/>
      <c r="W29" s="308"/>
      <c r="AE29" s="135"/>
      <c r="AF29" s="135"/>
    </row>
    <row r="30" spans="1:34" x14ac:dyDescent="0.2">
      <c r="F30" s="298"/>
      <c r="G30" s="298"/>
      <c r="H30" s="336"/>
      <c r="I30" s="278"/>
      <c r="J30" s="297"/>
      <c r="K30" s="336"/>
      <c r="L30" s="143"/>
      <c r="W30" s="308"/>
      <c r="AE30" s="135"/>
      <c r="AF30" s="135"/>
    </row>
    <row r="31" spans="1:34" x14ac:dyDescent="0.2">
      <c r="F31" s="298"/>
      <c r="G31" s="298"/>
      <c r="H31" s="336"/>
      <c r="I31" s="278"/>
      <c r="J31" s="278"/>
      <c r="K31" s="336"/>
      <c r="L31" s="143"/>
      <c r="W31" s="308"/>
      <c r="AE31" s="135"/>
      <c r="AF31" s="135"/>
    </row>
    <row r="32" spans="1:34" x14ac:dyDescent="0.2">
      <c r="W32" s="308"/>
      <c r="AE32" s="135"/>
      <c r="AF32" s="135"/>
    </row>
    <row r="33" spans="1:32" x14ac:dyDescent="0.2">
      <c r="A33" s="471" t="s">
        <v>560</v>
      </c>
      <c r="B33" s="471"/>
      <c r="C33" s="471"/>
      <c r="D33" s="471"/>
      <c r="E33" s="471"/>
      <c r="F33" s="471"/>
      <c r="G33" s="471"/>
      <c r="H33" s="471"/>
      <c r="I33" s="471"/>
      <c r="J33" s="471"/>
      <c r="K33" s="471"/>
      <c r="L33" s="471"/>
      <c r="M33" s="471"/>
      <c r="N33" s="471"/>
      <c r="O33" s="471"/>
      <c r="P33" s="471"/>
      <c r="Q33" s="471"/>
      <c r="R33" s="311"/>
      <c r="S33" s="311"/>
      <c r="T33" s="311"/>
      <c r="U33" s="311"/>
      <c r="V33" s="311"/>
      <c r="W33" s="311"/>
      <c r="AE33" s="135"/>
      <c r="AF33" s="135"/>
    </row>
    <row r="34" spans="1:32" x14ac:dyDescent="0.2">
      <c r="A34" s="311"/>
      <c r="B34" s="311"/>
      <c r="C34" s="311"/>
      <c r="D34" s="311"/>
      <c r="E34" s="311"/>
      <c r="F34" s="311"/>
      <c r="G34" s="311"/>
      <c r="H34" s="311"/>
      <c r="I34" s="311"/>
      <c r="J34" s="311"/>
      <c r="K34" s="311"/>
      <c r="L34" s="311"/>
      <c r="M34" s="311"/>
      <c r="N34" s="311"/>
      <c r="O34" s="311"/>
      <c r="P34" s="311"/>
      <c r="Q34" s="311"/>
      <c r="R34" s="311"/>
      <c r="S34" s="311"/>
      <c r="T34" s="311"/>
      <c r="U34" s="311"/>
      <c r="V34" s="311"/>
      <c r="W34" s="311"/>
      <c r="AE34" s="135"/>
      <c r="AF34" s="135"/>
    </row>
    <row r="35" spans="1:32" ht="32" customHeight="1" x14ac:dyDescent="0.2">
      <c r="A35" s="469" t="s">
        <v>561</v>
      </c>
      <c r="B35" s="469"/>
      <c r="C35" s="469"/>
      <c r="D35" s="469"/>
      <c r="E35" s="469"/>
      <c r="F35" s="310"/>
      <c r="G35" s="477" t="s">
        <v>562</v>
      </c>
      <c r="H35" s="477"/>
      <c r="I35" s="477"/>
      <c r="J35" s="477"/>
      <c r="K35" s="477"/>
      <c r="M35" s="469" t="s">
        <v>563</v>
      </c>
      <c r="N35" s="469"/>
      <c r="O35" s="469"/>
      <c r="P35" s="469"/>
      <c r="Q35" s="469"/>
      <c r="V35" s="310"/>
      <c r="W35" s="310"/>
      <c r="AE35" s="135"/>
      <c r="AF35" s="135"/>
    </row>
    <row r="36" spans="1:32" s="311" customFormat="1" x14ac:dyDescent="0.2">
      <c r="A36" s="344" t="s">
        <v>556</v>
      </c>
      <c r="B36" s="344" t="s">
        <v>533</v>
      </c>
      <c r="C36" s="344" t="s">
        <v>534</v>
      </c>
      <c r="D36" s="344" t="s">
        <v>535</v>
      </c>
      <c r="E36" s="344" t="s">
        <v>386</v>
      </c>
      <c r="G36" s="344" t="s">
        <v>556</v>
      </c>
      <c r="H36" s="344" t="s">
        <v>533</v>
      </c>
      <c r="I36" s="344" t="s">
        <v>534</v>
      </c>
      <c r="J36" s="344" t="s">
        <v>535</v>
      </c>
      <c r="K36" s="344" t="s">
        <v>386</v>
      </c>
      <c r="M36" s="344" t="s">
        <v>556</v>
      </c>
      <c r="N36" s="344" t="s">
        <v>533</v>
      </c>
      <c r="O36" s="344" t="s">
        <v>534</v>
      </c>
      <c r="P36" s="344" t="s">
        <v>535</v>
      </c>
      <c r="Q36" s="344" t="s">
        <v>386</v>
      </c>
      <c r="AE36" s="139"/>
      <c r="AF36" s="139"/>
    </row>
    <row r="37" spans="1:32" ht="32" x14ac:dyDescent="0.2">
      <c r="A37" s="136" t="s">
        <v>278</v>
      </c>
      <c r="B37" s="135">
        <v>2.5266487604339898</v>
      </c>
      <c r="C37" s="135">
        <f t="shared" ref="C37:C44" si="3">B37*1000</f>
        <v>2526.64876043399</v>
      </c>
      <c r="D37" s="135">
        <f>C37/365</f>
        <v>6.9223253710520272</v>
      </c>
      <c r="E37" s="361">
        <f t="shared" ref="E37:E44" si="4">D37/$D$45</f>
        <v>8.1854823894030371E-2</v>
      </c>
      <c r="G37" s="309" t="s">
        <v>542</v>
      </c>
      <c r="H37" s="135">
        <v>11.58387333172902</v>
      </c>
      <c r="I37" s="135">
        <f t="shared" ref="I37:I42" si="5">H37*1000</f>
        <v>11583.873331729021</v>
      </c>
      <c r="J37" s="135">
        <f>I37/365</f>
        <v>31.736639265011014</v>
      </c>
      <c r="K37" s="361">
        <f>J37/$J$45</f>
        <v>0.21012979994107586</v>
      </c>
      <c r="M37" s="136" t="s">
        <v>538</v>
      </c>
      <c r="N37" s="135">
        <v>4.6939009859788277</v>
      </c>
      <c r="O37" s="308">
        <f>N37*1000</f>
        <v>4693.9009859788275</v>
      </c>
      <c r="P37" s="308">
        <f>O37/365</f>
        <v>12.860002701311856</v>
      </c>
      <c r="Q37" s="361">
        <f>P37/$P$45</f>
        <v>0.24393305975418372</v>
      </c>
      <c r="W37" s="308"/>
      <c r="AE37" s="135"/>
      <c r="AF37" s="135"/>
    </row>
    <row r="38" spans="1:32" ht="32" x14ac:dyDescent="0.2">
      <c r="A38" s="135" t="s">
        <v>544</v>
      </c>
      <c r="B38" s="135">
        <v>1.2912274544158369</v>
      </c>
      <c r="C38" s="135">
        <f t="shared" si="3"/>
        <v>1291.227454415837</v>
      </c>
      <c r="D38" s="135">
        <f t="shared" ref="D38:D44" si="6">C38/365</f>
        <v>3.5376094641529781</v>
      </c>
      <c r="E38" s="361">
        <f t="shared" si="4"/>
        <v>4.183137662165242E-2</v>
      </c>
      <c r="G38" s="135" t="s">
        <v>73</v>
      </c>
      <c r="H38" s="135">
        <f>31.4933543864592/3</f>
        <v>10.4977847954864</v>
      </c>
      <c r="I38" s="135">
        <f t="shared" si="5"/>
        <v>10497.784795486399</v>
      </c>
      <c r="J38" s="135">
        <f t="shared" ref="J38:J42" si="7">I38/365</f>
        <v>28.761054234209311</v>
      </c>
      <c r="K38" s="361">
        <f t="shared" ref="K38:K42" si="8">J38/$J$45</f>
        <v>0.19042830974833963</v>
      </c>
      <c r="M38" s="136" t="s">
        <v>541</v>
      </c>
      <c r="N38" s="135">
        <v>2.0455449953473055</v>
      </c>
      <c r="O38" s="308">
        <f>N38*1000</f>
        <v>2045.5449953473055</v>
      </c>
      <c r="P38" s="308">
        <f>O38/365</f>
        <v>5.6042328639652208</v>
      </c>
      <c r="Q38" s="361">
        <f>P38/$P$45</f>
        <v>0.10630306243579046</v>
      </c>
      <c r="W38" s="308"/>
      <c r="AE38" s="135"/>
      <c r="AF38" s="135"/>
    </row>
    <row r="39" spans="1:32" ht="32" x14ac:dyDescent="0.2">
      <c r="A39" s="135" t="s">
        <v>545</v>
      </c>
      <c r="B39" s="135">
        <v>1.7020579428321057</v>
      </c>
      <c r="C39" s="135">
        <f t="shared" si="3"/>
        <v>1702.0579428321057</v>
      </c>
      <c r="D39" s="135">
        <f t="shared" si="6"/>
        <v>4.6631724461153583</v>
      </c>
      <c r="E39" s="361">
        <f t="shared" si="4"/>
        <v>5.5140886754685696E-2</v>
      </c>
      <c r="G39" s="309" t="s">
        <v>79</v>
      </c>
      <c r="H39" s="135">
        <f>31.4933543864592/3</f>
        <v>10.4977847954864</v>
      </c>
      <c r="I39" s="135">
        <f t="shared" si="5"/>
        <v>10497.784795486399</v>
      </c>
      <c r="J39" s="135">
        <f t="shared" si="7"/>
        <v>28.761054234209311</v>
      </c>
      <c r="K39" s="361">
        <f t="shared" si="8"/>
        <v>0.19042830974833963</v>
      </c>
      <c r="M39" s="135" t="s">
        <v>564</v>
      </c>
      <c r="N39" s="135">
        <v>9.0006717152206921</v>
      </c>
      <c r="O39" s="308">
        <f>N39*1000</f>
        <v>9000.6717152206929</v>
      </c>
      <c r="P39" s="308">
        <f>O39/365</f>
        <v>24.659374562248473</v>
      </c>
      <c r="Q39" s="361">
        <f>P39/$P$45</f>
        <v>0.46774770023805179</v>
      </c>
      <c r="W39" s="308"/>
      <c r="AE39" s="135"/>
      <c r="AF39" s="135"/>
    </row>
    <row r="40" spans="1:32" ht="32" x14ac:dyDescent="0.2">
      <c r="A40" s="135" t="s">
        <v>565</v>
      </c>
      <c r="B40" s="135">
        <v>2.4203702359271562</v>
      </c>
      <c r="C40" s="135">
        <f t="shared" si="3"/>
        <v>2420.370235927156</v>
      </c>
      <c r="D40" s="135">
        <f t="shared" si="6"/>
        <v>6.6311513313072767</v>
      </c>
      <c r="E40" s="361">
        <f t="shared" si="4"/>
        <v>7.8411761271535096E-2</v>
      </c>
      <c r="G40" s="309" t="s">
        <v>76</v>
      </c>
      <c r="H40" s="135">
        <f>31.4933543864592/3</f>
        <v>10.4977847954864</v>
      </c>
      <c r="I40" s="135">
        <f t="shared" si="5"/>
        <v>10497.784795486399</v>
      </c>
      <c r="J40" s="135">
        <f t="shared" si="7"/>
        <v>28.761054234209311</v>
      </c>
      <c r="K40" s="361">
        <f t="shared" si="8"/>
        <v>0.19042830974833963</v>
      </c>
      <c r="M40" s="135" t="s">
        <v>552</v>
      </c>
      <c r="N40" s="135">
        <v>1.9744421416907414</v>
      </c>
      <c r="O40" s="308">
        <f>N40*1000</f>
        <v>1974.4421416907414</v>
      </c>
      <c r="P40" s="308">
        <f>O40/365</f>
        <v>5.4094305251801131</v>
      </c>
      <c r="Q40" s="361">
        <f>P40/$P$45</f>
        <v>0.10260798307610457</v>
      </c>
      <c r="W40" s="308"/>
      <c r="AE40" s="135"/>
      <c r="AF40" s="135"/>
    </row>
    <row r="41" spans="1:32" ht="16" x14ac:dyDescent="0.2">
      <c r="A41" s="135" t="s">
        <v>548</v>
      </c>
      <c r="B41" s="135">
        <v>3.3350808124886635</v>
      </c>
      <c r="C41" s="135">
        <f t="shared" si="3"/>
        <v>3335.0808124886635</v>
      </c>
      <c r="D41" s="135">
        <f t="shared" si="6"/>
        <v>9.1372077054483931</v>
      </c>
      <c r="E41" s="361">
        <f t="shared" si="4"/>
        <v>0.10804527200358816</v>
      </c>
      <c r="G41" s="135" t="s">
        <v>566</v>
      </c>
      <c r="H41" s="135">
        <f>24.1/4</f>
        <v>6.0250000000000004</v>
      </c>
      <c r="I41" s="135">
        <f t="shared" si="5"/>
        <v>6025</v>
      </c>
      <c r="J41" s="135">
        <f t="shared" si="7"/>
        <v>16.506849315068493</v>
      </c>
      <c r="K41" s="361">
        <f t="shared" si="8"/>
        <v>0.10929263540695268</v>
      </c>
      <c r="M41" s="135" t="s">
        <v>546</v>
      </c>
      <c r="N41" s="135">
        <v>1.5280183949423334</v>
      </c>
      <c r="O41" s="308">
        <f>N41*1000</f>
        <v>1528.0183949423333</v>
      </c>
      <c r="P41" s="308">
        <f>O41/365</f>
        <v>4.1863517669652968</v>
      </c>
      <c r="Q41" s="361">
        <f>P41/$P$45</f>
        <v>7.9408194495869444E-2</v>
      </c>
      <c r="W41" s="308"/>
      <c r="AE41" s="135"/>
      <c r="AF41" s="135"/>
    </row>
    <row r="42" spans="1:32" ht="19" customHeight="1" x14ac:dyDescent="0.2">
      <c r="A42" s="135" t="s">
        <v>551</v>
      </c>
      <c r="B42" s="135">
        <v>7.5420535132744995</v>
      </c>
      <c r="C42" s="135">
        <f t="shared" si="3"/>
        <v>7542.0535132744999</v>
      </c>
      <c r="D42" s="135">
        <f t="shared" si="6"/>
        <v>20.663160310341095</v>
      </c>
      <c r="E42" s="361">
        <f>D42/$D$45</f>
        <v>0.24433687491347134</v>
      </c>
      <c r="G42" s="135" t="s">
        <v>558</v>
      </c>
      <c r="H42" s="135">
        <f>24.1/4</f>
        <v>6.0250000000000004</v>
      </c>
      <c r="I42" s="135">
        <f t="shared" si="5"/>
        <v>6025</v>
      </c>
      <c r="J42" s="135">
        <f t="shared" si="7"/>
        <v>16.506849315068493</v>
      </c>
      <c r="K42" s="361">
        <f t="shared" si="8"/>
        <v>0.10929263540695268</v>
      </c>
      <c r="AE42" s="135"/>
      <c r="AF42" s="135"/>
    </row>
    <row r="43" spans="1:32" ht="16" x14ac:dyDescent="0.2">
      <c r="A43" s="135" t="s">
        <v>287</v>
      </c>
      <c r="B43" s="135">
        <f>24.1/4</f>
        <v>6.0250000000000004</v>
      </c>
      <c r="C43" s="135">
        <f t="shared" si="3"/>
        <v>6025</v>
      </c>
      <c r="D43" s="135">
        <f t="shared" si="6"/>
        <v>16.506849315068493</v>
      </c>
      <c r="E43" s="361">
        <f t="shared" si="4"/>
        <v>0.19518950227051848</v>
      </c>
      <c r="X43" s="135"/>
      <c r="Y43" s="135"/>
      <c r="Z43" s="135"/>
      <c r="AE43" s="135"/>
      <c r="AF43" s="135"/>
    </row>
    <row r="44" spans="1:32" ht="16" x14ac:dyDescent="0.2">
      <c r="A44" s="135" t="s">
        <v>559</v>
      </c>
      <c r="B44" s="135">
        <f>24.1/4</f>
        <v>6.0250000000000004</v>
      </c>
      <c r="C44" s="135">
        <f t="shared" si="3"/>
        <v>6025</v>
      </c>
      <c r="D44" s="135">
        <f t="shared" si="6"/>
        <v>16.506849315068493</v>
      </c>
      <c r="E44" s="361">
        <f t="shared" si="4"/>
        <v>0.19518950227051848</v>
      </c>
      <c r="W44" s="308"/>
      <c r="X44" s="135"/>
      <c r="Y44" s="135"/>
      <c r="Z44" s="135"/>
      <c r="AE44" s="135"/>
      <c r="AF44" s="135"/>
    </row>
    <row r="45" spans="1:32" s="311" customFormat="1" ht="16" x14ac:dyDescent="0.2">
      <c r="A45" s="313" t="s">
        <v>555</v>
      </c>
      <c r="B45" s="313"/>
      <c r="C45" s="313"/>
      <c r="D45" s="307">
        <f>SUM(D37:D44)</f>
        <v>84.568325258554111</v>
      </c>
      <c r="E45" s="307">
        <f>SUM(E37:E44)</f>
        <v>1</v>
      </c>
      <c r="F45" s="308"/>
      <c r="G45" s="314" t="s">
        <v>555</v>
      </c>
      <c r="H45" s="313"/>
      <c r="I45" s="313"/>
      <c r="J45" s="307">
        <f>SUM(J37:J42)</f>
        <v>151.03350059777591</v>
      </c>
      <c r="K45" s="307">
        <f>SUM(K37:K42)</f>
        <v>1.0000000000000002</v>
      </c>
      <c r="M45" s="313" t="s">
        <v>555</v>
      </c>
      <c r="N45" s="313"/>
      <c r="O45" s="313"/>
      <c r="P45" s="315">
        <f>SUM(P37:P41)</f>
        <v>52.71939241967096</v>
      </c>
      <c r="Q45" s="307">
        <f>SUM(Q37:Q41)</f>
        <v>1</v>
      </c>
      <c r="V45" s="308"/>
      <c r="W45" s="308"/>
      <c r="X45" s="139"/>
      <c r="Y45" s="139"/>
      <c r="Z45" s="139"/>
      <c r="AE45" s="139"/>
      <c r="AF45" s="139"/>
    </row>
    <row r="46" spans="1:32" ht="16" customHeight="1" x14ac:dyDescent="0.2">
      <c r="A46" s="316"/>
      <c r="B46" s="316"/>
      <c r="C46" s="316"/>
      <c r="D46" s="311"/>
      <c r="I46" s="475"/>
      <c r="J46" s="475"/>
      <c r="K46" s="475"/>
      <c r="L46" s="311"/>
      <c r="Q46" s="475"/>
      <c r="R46" s="476"/>
      <c r="S46" s="476"/>
      <c r="T46" s="311"/>
      <c r="W46" s="308"/>
      <c r="X46" s="135"/>
      <c r="Y46" s="135"/>
      <c r="Z46" s="135"/>
      <c r="AE46" s="135"/>
      <c r="AF46" s="135"/>
    </row>
    <row r="47" spans="1:32" x14ac:dyDescent="0.2">
      <c r="Q47" s="135"/>
      <c r="R47" s="135"/>
      <c r="X47" s="135"/>
      <c r="Y47" s="135"/>
      <c r="Z47" s="135"/>
      <c r="AE47" s="135"/>
      <c r="AF47" s="135"/>
    </row>
    <row r="48" spans="1:32" x14ac:dyDescent="0.2">
      <c r="Q48" s="133"/>
      <c r="W48" s="135"/>
      <c r="X48" s="135"/>
      <c r="Y48" s="135"/>
      <c r="Z48" s="135"/>
      <c r="AE48" s="135"/>
      <c r="AF48" s="135"/>
    </row>
    <row r="49" spans="1:26" x14ac:dyDescent="0.2">
      <c r="A49" s="471" t="s">
        <v>567</v>
      </c>
      <c r="B49" s="471"/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471"/>
      <c r="Q49" s="471"/>
      <c r="R49" s="135"/>
      <c r="W49" s="135"/>
      <c r="X49" s="135"/>
      <c r="Y49" s="135"/>
      <c r="Z49" s="135"/>
    </row>
    <row r="50" spans="1:26" x14ac:dyDescent="0.2">
      <c r="A50" s="311"/>
      <c r="B50" s="311"/>
      <c r="C50" s="311"/>
      <c r="D50" s="311"/>
      <c r="E50" s="311"/>
      <c r="F50" s="311"/>
      <c r="G50" s="311"/>
      <c r="H50" s="311"/>
      <c r="I50" s="311"/>
      <c r="J50" s="311"/>
      <c r="K50" s="311"/>
      <c r="L50" s="311"/>
      <c r="M50" s="311"/>
      <c r="N50" s="311"/>
      <c r="O50" s="311"/>
      <c r="P50" s="311"/>
      <c r="Q50" s="135"/>
      <c r="R50" s="135"/>
      <c r="W50" s="135"/>
      <c r="X50" s="135"/>
      <c r="Y50" s="135"/>
      <c r="Z50" s="135"/>
    </row>
    <row r="51" spans="1:26" ht="16" customHeight="1" x14ac:dyDescent="0.2">
      <c r="A51" s="470" t="s">
        <v>617</v>
      </c>
      <c r="B51" s="470"/>
      <c r="C51" s="470"/>
      <c r="D51" s="470"/>
      <c r="E51" s="470"/>
      <c r="F51" s="136"/>
      <c r="G51" s="136"/>
      <c r="I51" s="471" t="s">
        <v>568</v>
      </c>
      <c r="J51" s="471"/>
      <c r="K51" s="471"/>
      <c r="L51" s="471"/>
      <c r="M51" s="471"/>
      <c r="N51" s="311"/>
      <c r="O51" s="311"/>
      <c r="P51" s="311"/>
      <c r="Q51" s="135"/>
      <c r="R51" s="135"/>
    </row>
    <row r="52" spans="1:26" x14ac:dyDescent="0.2">
      <c r="A52" s="133"/>
      <c r="B52" s="133"/>
      <c r="C52" s="133"/>
      <c r="D52" s="133"/>
      <c r="E52" s="133"/>
      <c r="F52" s="136"/>
      <c r="G52" s="136"/>
      <c r="I52" s="311"/>
      <c r="N52" s="311"/>
      <c r="O52" s="135"/>
      <c r="P52" s="135"/>
      <c r="Q52" s="135"/>
      <c r="R52" s="135"/>
    </row>
    <row r="53" spans="1:26" ht="16" x14ac:dyDescent="0.2">
      <c r="A53" s="299" t="s">
        <v>569</v>
      </c>
      <c r="B53" s="299" t="s">
        <v>533</v>
      </c>
      <c r="C53" s="299" t="s">
        <v>534</v>
      </c>
      <c r="D53" s="299" t="s">
        <v>535</v>
      </c>
      <c r="E53" s="300" t="s">
        <v>386</v>
      </c>
      <c r="F53" s="474" t="s">
        <v>537</v>
      </c>
      <c r="G53" s="474"/>
      <c r="I53" s="299" t="s">
        <v>569</v>
      </c>
      <c r="J53" s="299" t="s">
        <v>533</v>
      </c>
      <c r="K53" s="299" t="s">
        <v>534</v>
      </c>
      <c r="L53" s="299" t="s">
        <v>535</v>
      </c>
      <c r="M53" s="300" t="s">
        <v>386</v>
      </c>
      <c r="N53" s="133"/>
      <c r="O53" s="133"/>
      <c r="P53" s="134"/>
      <c r="Q53" s="135"/>
      <c r="R53" s="135"/>
    </row>
    <row r="54" spans="1:26" ht="16" x14ac:dyDescent="0.2">
      <c r="A54" s="130" t="s">
        <v>570</v>
      </c>
      <c r="B54" s="136">
        <v>24.475065473212549</v>
      </c>
      <c r="C54" s="136">
        <f>B54*1000</f>
        <v>24475.065473212548</v>
      </c>
      <c r="D54" s="136">
        <f>C54/365</f>
        <v>67.054973899212456</v>
      </c>
      <c r="E54" s="338">
        <f>D54/$D$67</f>
        <v>0.42644194984392536</v>
      </c>
      <c r="F54" s="143"/>
      <c r="G54" s="136"/>
      <c r="I54" s="130" t="s">
        <v>570</v>
      </c>
      <c r="J54" s="136">
        <v>24.475065473212549</v>
      </c>
      <c r="K54" s="136">
        <f>J54*1000</f>
        <v>24475.065473212548</v>
      </c>
      <c r="L54" s="136">
        <v>67.054973899212456</v>
      </c>
      <c r="M54" s="360">
        <f>L54/$L$67</f>
        <v>0.44966025536520082</v>
      </c>
      <c r="N54" s="130"/>
      <c r="Q54" s="135"/>
      <c r="R54" s="135"/>
    </row>
    <row r="55" spans="1:26" ht="16" x14ac:dyDescent="0.2">
      <c r="A55" s="130" t="s">
        <v>571</v>
      </c>
      <c r="B55" s="136">
        <v>2.4922451061318602</v>
      </c>
      <c r="C55" s="136">
        <f t="shared" ref="C55:C66" si="9">B55*1000</f>
        <v>2492.2451061318602</v>
      </c>
      <c r="D55" s="136">
        <f t="shared" ref="D55:D66" si="10">C55/365</f>
        <v>6.8280687839229044</v>
      </c>
      <c r="E55" s="338">
        <f t="shared" ref="E55:E66" si="11">D55/$D$67</f>
        <v>4.3423698445712491E-2</v>
      </c>
      <c r="F55" s="143"/>
      <c r="G55" s="136"/>
      <c r="I55" s="130" t="s">
        <v>571</v>
      </c>
      <c r="J55" s="136">
        <v>2.4922451061318602</v>
      </c>
      <c r="K55" s="136">
        <f>J55*1000</f>
        <v>2492.2451061318602</v>
      </c>
      <c r="L55" s="136">
        <v>6.8280687839229044</v>
      </c>
      <c r="M55" s="360">
        <f>L55/$L$67</f>
        <v>4.5787970295011769E-2</v>
      </c>
      <c r="N55" s="130"/>
      <c r="R55" s="317"/>
      <c r="Z55" s="317"/>
    </row>
    <row r="56" spans="1:26" ht="16" x14ac:dyDescent="0.2">
      <c r="A56" s="141" t="s">
        <v>572</v>
      </c>
      <c r="B56" s="137">
        <v>2.3134426229743084</v>
      </c>
      <c r="C56" s="137">
        <f t="shared" si="9"/>
        <v>2313.4426229743085</v>
      </c>
      <c r="D56" s="137">
        <f t="shared" si="10"/>
        <v>6.3381989670529002</v>
      </c>
      <c r="E56" s="339">
        <f t="shared" si="11"/>
        <v>4.030832865689233E-2</v>
      </c>
      <c r="F56" s="473" t="s">
        <v>573</v>
      </c>
      <c r="G56" s="473"/>
      <c r="I56" s="130" t="s">
        <v>574</v>
      </c>
      <c r="J56" s="136">
        <v>1.0992063769575533</v>
      </c>
      <c r="K56" s="136">
        <f t="shared" ref="K56:K63" si="12">J56*1000</f>
        <v>1099.2063769575534</v>
      </c>
      <c r="L56" s="136">
        <v>3.0115243204316533</v>
      </c>
      <c r="M56" s="360">
        <f>L56/$L$67</f>
        <v>2.019481503339627E-2</v>
      </c>
      <c r="N56" s="130"/>
    </row>
    <row r="57" spans="1:26" ht="16" x14ac:dyDescent="0.2">
      <c r="A57" s="130" t="s">
        <v>574</v>
      </c>
      <c r="B57" s="136">
        <v>1.0992063769575533</v>
      </c>
      <c r="C57" s="136">
        <f t="shared" si="9"/>
        <v>1099.2063769575534</v>
      </c>
      <c r="D57" s="136">
        <f t="shared" si="10"/>
        <v>3.0115243204316533</v>
      </c>
      <c r="E57" s="338">
        <f t="shared" si="11"/>
        <v>1.9152051347265674E-2</v>
      </c>
      <c r="F57" s="143"/>
      <c r="G57" s="136"/>
      <c r="I57" s="142" t="s">
        <v>575</v>
      </c>
      <c r="J57" s="136">
        <v>0.6371524863207263</v>
      </c>
      <c r="K57" s="136">
        <f t="shared" si="12"/>
        <v>637.15248632072633</v>
      </c>
      <c r="L57" s="136">
        <v>1.7456232501937707</v>
      </c>
      <c r="M57" s="360">
        <f>L57/$D$67</f>
        <v>1.1101443177420503E-2</v>
      </c>
      <c r="N57" s="130"/>
    </row>
    <row r="58" spans="1:26" ht="16" x14ac:dyDescent="0.2">
      <c r="A58" s="142" t="s">
        <v>575</v>
      </c>
      <c r="B58" s="136">
        <v>0.6371524863207263</v>
      </c>
      <c r="C58" s="136">
        <f t="shared" si="9"/>
        <v>637.15248632072633</v>
      </c>
      <c r="D58" s="136">
        <f t="shared" si="10"/>
        <v>1.7456232501937707</v>
      </c>
      <c r="E58" s="338">
        <f t="shared" si="11"/>
        <v>1.1101443177420503E-2</v>
      </c>
      <c r="F58" s="143"/>
      <c r="G58" s="136"/>
      <c r="I58" s="142" t="s">
        <v>576</v>
      </c>
      <c r="J58" s="136">
        <v>2.9585423847032648</v>
      </c>
      <c r="K58" s="136">
        <f t="shared" si="12"/>
        <v>2958.5423847032648</v>
      </c>
      <c r="L58" s="136">
        <v>8.1055955745294934</v>
      </c>
      <c r="M58" s="360">
        <f>L58/$D$67</f>
        <v>5.1548241397335721E-2</v>
      </c>
      <c r="N58" s="130"/>
    </row>
    <row r="59" spans="1:26" ht="16" x14ac:dyDescent="0.2">
      <c r="A59" s="142" t="s">
        <v>576</v>
      </c>
      <c r="B59" s="136">
        <v>2.9585423847032648</v>
      </c>
      <c r="C59" s="136">
        <f t="shared" si="9"/>
        <v>2958.5423847032648</v>
      </c>
      <c r="D59" s="136">
        <f t="shared" si="10"/>
        <v>8.1055955745294934</v>
      </c>
      <c r="E59" s="338">
        <f t="shared" si="11"/>
        <v>5.1548241397335721E-2</v>
      </c>
      <c r="F59" s="143"/>
      <c r="G59" s="136"/>
      <c r="I59" s="130" t="s">
        <v>577</v>
      </c>
      <c r="J59" s="136">
        <v>1.1191105044795866</v>
      </c>
      <c r="K59" s="136">
        <f t="shared" si="12"/>
        <v>1119.1105044795866</v>
      </c>
      <c r="L59" s="136">
        <v>3.0660561766564016</v>
      </c>
      <c r="M59" s="360">
        <f>L59/$L$67</f>
        <v>2.0560497203855613E-2</v>
      </c>
      <c r="N59" s="130"/>
    </row>
    <row r="60" spans="1:26" ht="16" customHeight="1" x14ac:dyDescent="0.2">
      <c r="A60" s="141" t="s">
        <v>578</v>
      </c>
      <c r="B60" s="137">
        <v>0.39803679878081805</v>
      </c>
      <c r="C60" s="137">
        <f t="shared" si="9"/>
        <v>398.03679878081806</v>
      </c>
      <c r="D60" s="137">
        <f t="shared" si="10"/>
        <v>1.0905117774816933</v>
      </c>
      <c r="E60" s="339">
        <f t="shared" si="11"/>
        <v>6.9352046787169042E-3</v>
      </c>
      <c r="F60" s="473" t="s">
        <v>540</v>
      </c>
      <c r="G60" s="473"/>
      <c r="I60" s="130" t="s">
        <v>579</v>
      </c>
      <c r="J60" s="136">
        <v>0.96460087186579291</v>
      </c>
      <c r="K60" s="136">
        <f t="shared" si="12"/>
        <v>964.6008718657929</v>
      </c>
      <c r="L60" s="136">
        <v>2.6427421147008023</v>
      </c>
      <c r="M60" s="360">
        <f>L60/$L$67</f>
        <v>1.772181875645604E-2</v>
      </c>
      <c r="N60" s="130"/>
    </row>
    <row r="61" spans="1:26" ht="16" x14ac:dyDescent="0.2">
      <c r="A61" s="130" t="s">
        <v>577</v>
      </c>
      <c r="B61" s="136">
        <v>1.1191105044795866</v>
      </c>
      <c r="C61" s="136">
        <f t="shared" si="9"/>
        <v>1119.1105044795866</v>
      </c>
      <c r="D61" s="136">
        <f t="shared" si="10"/>
        <v>3.0660561766564016</v>
      </c>
      <c r="E61" s="338">
        <f t="shared" si="11"/>
        <v>1.9498851438964217E-2</v>
      </c>
      <c r="F61" s="143"/>
      <c r="G61" s="136"/>
      <c r="I61" s="130" t="s">
        <v>580</v>
      </c>
      <c r="J61" s="136">
        <v>3.8203338223798933</v>
      </c>
      <c r="K61" s="136">
        <f t="shared" si="12"/>
        <v>3820.3338223798933</v>
      </c>
      <c r="L61" s="136">
        <v>10.466668006520255</v>
      </c>
      <c r="M61" s="360">
        <f>L61/$L$67</f>
        <v>7.018785236884495E-2</v>
      </c>
      <c r="N61" s="130"/>
    </row>
    <row r="62" spans="1:26" ht="16" customHeight="1" x14ac:dyDescent="0.2">
      <c r="A62" s="141" t="s">
        <v>581</v>
      </c>
      <c r="B62" s="137">
        <v>0.25205489550045279</v>
      </c>
      <c r="C62" s="137">
        <f t="shared" si="9"/>
        <v>252.0548955004528</v>
      </c>
      <c r="D62" s="137">
        <f t="shared" si="10"/>
        <v>0.69056135753548709</v>
      </c>
      <c r="E62" s="339">
        <f t="shared" si="11"/>
        <v>4.391685130426393E-3</v>
      </c>
      <c r="F62" s="473" t="s">
        <v>540</v>
      </c>
      <c r="G62" s="473"/>
      <c r="I62" s="130" t="s">
        <v>582</v>
      </c>
      <c r="J62" s="136">
        <v>5.2222843485058021</v>
      </c>
      <c r="K62" s="136">
        <f t="shared" si="12"/>
        <v>5222.284348505802</v>
      </c>
      <c r="L62" s="136">
        <v>14.30762835207069</v>
      </c>
      <c r="M62" s="360">
        <f>L62/$L$67</f>
        <v>9.5944736748873077E-2</v>
      </c>
      <c r="N62" s="130"/>
    </row>
    <row r="63" spans="1:26" ht="16" x14ac:dyDescent="0.2">
      <c r="A63" s="130" t="s">
        <v>579</v>
      </c>
      <c r="B63" s="136">
        <v>0.96460087186579291</v>
      </c>
      <c r="C63" s="136">
        <f t="shared" si="9"/>
        <v>964.6008718657929</v>
      </c>
      <c r="D63" s="136">
        <f t="shared" si="10"/>
        <v>2.6427421147008023</v>
      </c>
      <c r="E63" s="338">
        <f t="shared" si="11"/>
        <v>1.6806748773350949E-2</v>
      </c>
      <c r="F63" s="143"/>
      <c r="G63" s="136"/>
      <c r="I63" s="130" t="s">
        <v>583</v>
      </c>
      <c r="J63" s="136">
        <v>11.641587108412004</v>
      </c>
      <c r="K63" s="136">
        <f t="shared" si="12"/>
        <v>11641.587108412004</v>
      </c>
      <c r="L63" s="136">
        <v>31.894759201128778</v>
      </c>
      <c r="M63" s="360">
        <f>L63/$L$67</f>
        <v>0.21388130862220195</v>
      </c>
      <c r="N63" s="130"/>
    </row>
    <row r="64" spans="1:26" ht="16" x14ac:dyDescent="0.2">
      <c r="A64" s="130" t="s">
        <v>580</v>
      </c>
      <c r="B64" s="136">
        <v>3.8203338223798933</v>
      </c>
      <c r="C64" s="136">
        <f t="shared" si="9"/>
        <v>3820.3338223798933</v>
      </c>
      <c r="D64" s="136">
        <f t="shared" si="10"/>
        <v>10.466668006520255</v>
      </c>
      <c r="E64" s="338">
        <f t="shared" si="11"/>
        <v>6.6563687278117789E-2</v>
      </c>
      <c r="F64" s="143"/>
      <c r="G64" s="136"/>
      <c r="N64" s="130"/>
    </row>
    <row r="65" spans="1:18" ht="16" x14ac:dyDescent="0.2">
      <c r="A65" s="130" t="s">
        <v>582</v>
      </c>
      <c r="B65" s="136">
        <v>5.2222843485058021</v>
      </c>
      <c r="C65" s="136">
        <f t="shared" si="9"/>
        <v>5222.284348505802</v>
      </c>
      <c r="D65" s="136">
        <f t="shared" si="10"/>
        <v>14.30762835207069</v>
      </c>
      <c r="E65" s="338">
        <f t="shared" si="11"/>
        <v>9.0990609306178749E-2</v>
      </c>
      <c r="F65" s="143"/>
      <c r="G65" s="136"/>
      <c r="Q65" s="135"/>
      <c r="R65" s="135"/>
    </row>
    <row r="66" spans="1:18" ht="16" x14ac:dyDescent="0.2">
      <c r="A66" s="130" t="s">
        <v>583</v>
      </c>
      <c r="B66" s="136">
        <v>11.641587108412004</v>
      </c>
      <c r="C66" s="136">
        <f t="shared" si="9"/>
        <v>11641.587108412004</v>
      </c>
      <c r="D66" s="136">
        <f t="shared" si="10"/>
        <v>31.894759201128778</v>
      </c>
      <c r="E66" s="338">
        <f t="shared" si="11"/>
        <v>0.20283750052569299</v>
      </c>
      <c r="F66" s="143"/>
      <c r="G66" s="136"/>
      <c r="Q66" s="136"/>
      <c r="R66" s="135"/>
    </row>
    <row r="67" spans="1:18" ht="16" x14ac:dyDescent="0.2">
      <c r="A67" s="303" t="s">
        <v>555</v>
      </c>
      <c r="B67" s="302">
        <f>SUM(B54:B66)</f>
        <v>57.393662800224604</v>
      </c>
      <c r="C67" s="302">
        <f>SUM(C54:C66)</f>
        <v>57393.662800224614</v>
      </c>
      <c r="D67" s="302">
        <f>SUM(D54:D66)</f>
        <v>157.24291178143727</v>
      </c>
      <c r="E67" s="302">
        <f>SUM(E54:E66)</f>
        <v>1.0000000000000002</v>
      </c>
      <c r="F67" s="143"/>
      <c r="G67" s="136"/>
      <c r="H67" s="130"/>
      <c r="I67" s="303" t="s">
        <v>555</v>
      </c>
      <c r="J67" s="302">
        <f>SUM(J54:J63)</f>
        <v>54.430128482969032</v>
      </c>
      <c r="K67" s="302">
        <f>SUM(K54:K63)</f>
        <v>54430.128482969027</v>
      </c>
      <c r="L67" s="302">
        <f>SUM(L54:L63)</f>
        <v>149.12363967936722</v>
      </c>
      <c r="M67" s="302">
        <f>SUM(M54:M63)</f>
        <v>0.99658893896859668</v>
      </c>
      <c r="Q67" s="136"/>
      <c r="R67" s="135"/>
    </row>
    <row r="68" spans="1:18" x14ac:dyDescent="0.2">
      <c r="F68" s="143"/>
      <c r="G68" s="136"/>
      <c r="N68" s="311"/>
      <c r="Q68" s="135"/>
      <c r="R68" s="135"/>
    </row>
    <row r="69" spans="1:18" x14ac:dyDescent="0.2">
      <c r="A69" s="130"/>
      <c r="Q69" s="135"/>
      <c r="R69" s="135"/>
    </row>
    <row r="70" spans="1:18" x14ac:dyDescent="0.2">
      <c r="A70" s="130"/>
      <c r="Q70" s="135"/>
      <c r="R70" s="135"/>
    </row>
    <row r="71" spans="1:18" x14ac:dyDescent="0.2">
      <c r="A71" s="130"/>
      <c r="Q71" s="135"/>
      <c r="R71" s="135"/>
    </row>
    <row r="72" spans="1:18" x14ac:dyDescent="0.2">
      <c r="A72" s="131"/>
      <c r="Q72" s="135"/>
      <c r="R72" s="135"/>
    </row>
    <row r="73" spans="1:18" x14ac:dyDescent="0.2">
      <c r="A73" s="131"/>
      <c r="Q73" s="135"/>
      <c r="R73" s="135"/>
    </row>
    <row r="74" spans="1:18" x14ac:dyDescent="0.2">
      <c r="A74" s="131"/>
      <c r="Q74" s="135"/>
      <c r="R74" s="135"/>
    </row>
    <row r="75" spans="1:18" x14ac:dyDescent="0.2">
      <c r="A75" s="131"/>
      <c r="Q75" s="135"/>
      <c r="R75" s="135"/>
    </row>
    <row r="76" spans="1:18" x14ac:dyDescent="0.2">
      <c r="A76" s="131"/>
      <c r="Q76" s="135"/>
      <c r="R76" s="135"/>
    </row>
    <row r="77" spans="1:18" x14ac:dyDescent="0.2">
      <c r="A77" s="131"/>
      <c r="Q77" s="135"/>
      <c r="R77" s="135"/>
    </row>
    <row r="78" spans="1:18" x14ac:dyDescent="0.2">
      <c r="A78" s="131"/>
      <c r="Q78" s="135"/>
      <c r="R78" s="135"/>
    </row>
    <row r="79" spans="1:18" x14ac:dyDescent="0.2">
      <c r="A79" s="131"/>
      <c r="Q79" s="135"/>
      <c r="R79" s="135"/>
    </row>
    <row r="80" spans="1:18" x14ac:dyDescent="0.2">
      <c r="A80" s="132"/>
      <c r="Q80" s="135"/>
      <c r="R80" s="135"/>
    </row>
    <row r="81" spans="1:18" x14ac:dyDescent="0.2">
      <c r="Q81" s="135"/>
      <c r="R81" s="135"/>
    </row>
    <row r="82" spans="1:18" x14ac:dyDescent="0.2">
      <c r="R82" s="317"/>
    </row>
    <row r="85" spans="1:18" x14ac:dyDescent="0.2">
      <c r="A85" s="318"/>
    </row>
    <row r="86" spans="1:18" x14ac:dyDescent="0.2">
      <c r="A86" s="318"/>
    </row>
    <row r="87" spans="1:18" x14ac:dyDescent="0.2">
      <c r="A87" s="318"/>
    </row>
    <row r="88" spans="1:18" x14ac:dyDescent="0.2">
      <c r="A88" s="319"/>
    </row>
    <row r="89" spans="1:18" x14ac:dyDescent="0.2">
      <c r="A89" s="318"/>
    </row>
    <row r="90" spans="1:18" x14ac:dyDescent="0.2">
      <c r="A90" s="318"/>
    </row>
    <row r="91" spans="1:18" x14ac:dyDescent="0.2">
      <c r="A91" s="318"/>
    </row>
  </sheetData>
  <mergeCells count="20">
    <mergeCell ref="F60:G60"/>
    <mergeCell ref="F62:G62"/>
    <mergeCell ref="F56:G56"/>
    <mergeCell ref="F53:G53"/>
    <mergeCell ref="A33:Q33"/>
    <mergeCell ref="I46:K46"/>
    <mergeCell ref="Q46:S46"/>
    <mergeCell ref="A35:E35"/>
    <mergeCell ref="G35:K35"/>
    <mergeCell ref="M35:Q35"/>
    <mergeCell ref="A1:P2"/>
    <mergeCell ref="A51:E51"/>
    <mergeCell ref="A6:E6"/>
    <mergeCell ref="A49:Q49"/>
    <mergeCell ref="I51:M51"/>
    <mergeCell ref="A4:L4"/>
    <mergeCell ref="H24:L24"/>
    <mergeCell ref="F11:G11"/>
    <mergeCell ref="F8:G8"/>
    <mergeCell ref="F14:G14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4C270-236B-7843-9126-05656B5FCFC2}">
  <dimension ref="A1:H118"/>
  <sheetViews>
    <sheetView tabSelected="1" zoomScale="99" workbookViewId="0">
      <selection activeCell="I78" sqref="I78"/>
    </sheetView>
  </sheetViews>
  <sheetFormatPr baseColWidth="10" defaultColWidth="11" defaultRowHeight="16" x14ac:dyDescent="0.2"/>
  <cols>
    <col min="1" max="1" width="10.83203125" customWidth="1"/>
    <col min="2" max="2" width="16.33203125" customWidth="1"/>
    <col min="3" max="3" width="16.1640625" customWidth="1"/>
    <col min="4" max="4" width="17" customWidth="1"/>
    <col min="5" max="5" width="18.1640625" customWidth="1"/>
    <col min="6" max="6" width="14.33203125" customWidth="1"/>
    <col min="7" max="7" width="13.83203125" customWidth="1"/>
    <col min="8" max="8" width="14.6640625" customWidth="1"/>
    <col min="22" max="22" width="18.33203125" customWidth="1"/>
  </cols>
  <sheetData>
    <row r="1" spans="1:6" x14ac:dyDescent="0.2">
      <c r="A1" s="462" t="s">
        <v>584</v>
      </c>
      <c r="B1" s="462"/>
      <c r="C1" s="462"/>
      <c r="D1" s="462"/>
      <c r="E1" s="462"/>
    </row>
    <row r="3" spans="1:6" x14ac:dyDescent="0.2">
      <c r="A3" s="462" t="s">
        <v>637</v>
      </c>
      <c r="B3" s="462"/>
      <c r="C3" s="462"/>
      <c r="D3" s="462"/>
      <c r="E3" s="462"/>
      <c r="F3" s="462"/>
    </row>
    <row r="7" spans="1:6" x14ac:dyDescent="0.2">
      <c r="B7" s="264" t="s">
        <v>475</v>
      </c>
      <c r="C7" s="265" t="s">
        <v>476</v>
      </c>
      <c r="D7" s="266" t="s">
        <v>585</v>
      </c>
    </row>
    <row r="8" spans="1:6" x14ac:dyDescent="0.2">
      <c r="B8" s="463" t="s">
        <v>491</v>
      </c>
      <c r="C8" s="321" t="s">
        <v>483</v>
      </c>
      <c r="D8" s="322">
        <f>'Total cost and affordability'!I10</f>
        <v>528.60503856559671</v>
      </c>
    </row>
    <row r="9" spans="1:6" x14ac:dyDescent="0.2">
      <c r="B9" s="465"/>
      <c r="C9" s="323" t="s">
        <v>485</v>
      </c>
      <c r="D9" s="261">
        <f>'Total cost and affordability'!I11</f>
        <v>830.20874425469333</v>
      </c>
    </row>
    <row r="10" spans="1:6" x14ac:dyDescent="0.2">
      <c r="B10" s="463" t="s">
        <v>487</v>
      </c>
      <c r="C10" s="321" t="s">
        <v>483</v>
      </c>
      <c r="D10" s="322">
        <f>'Total cost and affordability'!I20</f>
        <v>492.05528896147734</v>
      </c>
    </row>
    <row r="11" spans="1:6" x14ac:dyDescent="0.2">
      <c r="B11" s="465"/>
      <c r="C11" s="263" t="s">
        <v>485</v>
      </c>
      <c r="D11" s="261">
        <f>'Total cost and affordability'!I21</f>
        <v>745.44786088793637</v>
      </c>
    </row>
    <row r="12" spans="1:6" x14ac:dyDescent="0.2">
      <c r="B12" s="484" t="s">
        <v>482</v>
      </c>
      <c r="C12" s="262" t="s">
        <v>483</v>
      </c>
      <c r="D12" s="260">
        <f>'Total cost and affordability'!I30</f>
        <v>466.82121518579106</v>
      </c>
    </row>
    <row r="13" spans="1:6" x14ac:dyDescent="0.2">
      <c r="B13" s="485"/>
      <c r="C13" s="263" t="s">
        <v>485</v>
      </c>
      <c r="D13" s="261">
        <f>'Total cost and affordability'!I31</f>
        <v>684.66729656170082</v>
      </c>
    </row>
    <row r="19" spans="1:8" x14ac:dyDescent="0.2">
      <c r="A19" s="462" t="s">
        <v>636</v>
      </c>
      <c r="B19" s="462"/>
      <c r="C19" s="462"/>
      <c r="D19" s="462"/>
      <c r="E19" s="462"/>
      <c r="F19" s="462"/>
    </row>
    <row r="22" spans="1:8" x14ac:dyDescent="0.2">
      <c r="B22" s="264" t="s">
        <v>475</v>
      </c>
      <c r="C22" s="265" t="s">
        <v>476</v>
      </c>
      <c r="D22" s="266" t="s">
        <v>586</v>
      </c>
      <c r="E22" s="266" t="s">
        <v>587</v>
      </c>
    </row>
    <row r="23" spans="1:8" x14ac:dyDescent="0.2">
      <c r="B23" s="463" t="s">
        <v>491</v>
      </c>
      <c r="C23" s="321" t="s">
        <v>483</v>
      </c>
      <c r="D23" s="322">
        <f>'Total cost and affordability'!M17</f>
        <v>1763.3333333333333</v>
      </c>
      <c r="E23" s="322">
        <f>'Total cost and affordability'!M27</f>
        <v>3526.6666666666665</v>
      </c>
    </row>
    <row r="24" spans="1:8" x14ac:dyDescent="0.2">
      <c r="B24" s="465"/>
      <c r="C24" s="323" t="s">
        <v>485</v>
      </c>
      <c r="D24" s="261">
        <f>'Total cost and affordability'!M18</f>
        <v>2766.666666666667</v>
      </c>
      <c r="E24" s="261">
        <f>'Total cost and affordability'!M28</f>
        <v>5533.3333333333339</v>
      </c>
      <c r="F24" s="277"/>
      <c r="G24" s="277"/>
      <c r="H24" s="277"/>
    </row>
    <row r="25" spans="1:8" x14ac:dyDescent="0.2">
      <c r="B25" s="463" t="s">
        <v>487</v>
      </c>
      <c r="C25" s="321" t="s">
        <v>483</v>
      </c>
      <c r="D25" s="322">
        <f>'Total cost and affordability'!M19</f>
        <v>1639.9999999999998</v>
      </c>
      <c r="E25" s="322">
        <f>'Total cost and affordability'!M29</f>
        <v>3279.9999999999995</v>
      </c>
    </row>
    <row r="26" spans="1:8" x14ac:dyDescent="0.2">
      <c r="B26" s="465"/>
      <c r="C26" s="263" t="s">
        <v>485</v>
      </c>
      <c r="D26" s="261">
        <f>'Total cost and affordability'!M20</f>
        <v>2483.333333333333</v>
      </c>
      <c r="E26" s="261">
        <f>'Total cost and affordability'!M30</f>
        <v>4966.6666666666661</v>
      </c>
      <c r="G26" s="276"/>
      <c r="H26" s="276"/>
    </row>
    <row r="27" spans="1:8" x14ac:dyDescent="0.2">
      <c r="B27" s="484" t="s">
        <v>482</v>
      </c>
      <c r="C27" s="262" t="s">
        <v>483</v>
      </c>
      <c r="D27" s="260">
        <f>'Total cost and affordability'!M21</f>
        <v>1556.6666666666667</v>
      </c>
      <c r="E27" s="260">
        <f>'Total cost and affordability'!M31</f>
        <v>3113.3333333333335</v>
      </c>
      <c r="G27" s="276"/>
      <c r="H27" s="276"/>
    </row>
    <row r="28" spans="1:8" x14ac:dyDescent="0.2">
      <c r="B28" s="485"/>
      <c r="C28" s="263" t="s">
        <v>485</v>
      </c>
      <c r="D28" s="261">
        <f>'Total cost and affordability'!M22</f>
        <v>2283.333333333333</v>
      </c>
      <c r="E28" s="261">
        <f>'Total cost and affordability'!M32</f>
        <v>4566.6666666666661</v>
      </c>
      <c r="G28" s="276"/>
      <c r="H28" s="276"/>
    </row>
    <row r="29" spans="1:8" x14ac:dyDescent="0.2">
      <c r="C29" s="68"/>
      <c r="D29" s="276"/>
      <c r="E29" s="276"/>
      <c r="G29" s="276"/>
      <c r="H29" s="276"/>
    </row>
    <row r="30" spans="1:8" x14ac:dyDescent="0.2">
      <c r="C30" s="68"/>
      <c r="D30" s="276"/>
      <c r="E30" s="276"/>
      <c r="G30" s="276"/>
      <c r="H30" s="276"/>
    </row>
    <row r="31" spans="1:8" x14ac:dyDescent="0.2">
      <c r="C31" s="68"/>
      <c r="D31" s="276"/>
      <c r="E31" s="276"/>
      <c r="G31" s="276"/>
      <c r="H31" s="276"/>
    </row>
    <row r="36" spans="1:8" x14ac:dyDescent="0.2">
      <c r="A36" s="462" t="s">
        <v>634</v>
      </c>
      <c r="B36" s="462"/>
      <c r="C36" s="462"/>
      <c r="D36" s="462"/>
      <c r="E36" s="462"/>
      <c r="F36" s="462"/>
    </row>
    <row r="37" spans="1:8" x14ac:dyDescent="0.2">
      <c r="A37" s="482"/>
      <c r="B37" s="482"/>
      <c r="C37" s="374"/>
    </row>
    <row r="39" spans="1:8" x14ac:dyDescent="0.2">
      <c r="B39" s="362"/>
      <c r="C39" s="483"/>
      <c r="D39" s="483"/>
      <c r="E39" s="483"/>
      <c r="F39" s="483"/>
      <c r="G39" s="483"/>
      <c r="H39" s="483"/>
    </row>
    <row r="40" spans="1:8" x14ac:dyDescent="0.2">
      <c r="A40" s="270"/>
      <c r="B40" s="270"/>
      <c r="C40" s="363"/>
      <c r="D40" s="363"/>
      <c r="E40" s="363"/>
      <c r="F40" s="363"/>
      <c r="G40" s="363"/>
      <c r="H40" s="363"/>
    </row>
    <row r="41" spans="1:8" x14ac:dyDescent="0.2">
      <c r="A41" s="270"/>
      <c r="B41" s="480" t="s">
        <v>588</v>
      </c>
      <c r="C41" s="478" t="s">
        <v>491</v>
      </c>
      <c r="D41" s="479"/>
      <c r="E41" s="478" t="s">
        <v>487</v>
      </c>
      <c r="F41" s="479"/>
      <c r="G41" s="486" t="s">
        <v>482</v>
      </c>
      <c r="H41" s="479"/>
    </row>
    <row r="42" spans="1:8" x14ac:dyDescent="0.2">
      <c r="A42" s="270"/>
      <c r="B42" s="481"/>
      <c r="C42" s="269" t="s">
        <v>483</v>
      </c>
      <c r="D42" s="268" t="s">
        <v>485</v>
      </c>
      <c r="E42" s="269" t="s">
        <v>483</v>
      </c>
      <c r="F42" s="268" t="s">
        <v>485</v>
      </c>
      <c r="G42" s="267" t="s">
        <v>483</v>
      </c>
      <c r="H42" s="268" t="s">
        <v>485</v>
      </c>
    </row>
    <row r="43" spans="1:8" ht="17" x14ac:dyDescent="0.2">
      <c r="A43" s="270"/>
      <c r="B43" s="369" t="s">
        <v>390</v>
      </c>
      <c r="C43" s="375">
        <v>65.233080000000001</v>
      </c>
      <c r="D43" s="322">
        <v>87.000479999999996</v>
      </c>
      <c r="E43" s="375">
        <v>65.233080000000001</v>
      </c>
      <c r="F43" s="375">
        <v>87.000479999999996</v>
      </c>
      <c r="G43" s="375">
        <v>65.233080000000001</v>
      </c>
      <c r="H43" s="260">
        <v>87.000479999999996</v>
      </c>
    </row>
    <row r="44" spans="1:8" ht="33" customHeight="1" x14ac:dyDescent="0.2">
      <c r="A44" s="270"/>
      <c r="B44" s="368" t="s">
        <v>589</v>
      </c>
      <c r="C44" s="262">
        <v>5.0760000000000005</v>
      </c>
      <c r="D44" s="260">
        <v>8.0730000000000004</v>
      </c>
      <c r="E44" s="262">
        <v>5.0760000000000005</v>
      </c>
      <c r="F44" s="262">
        <v>8.0730000000000004</v>
      </c>
      <c r="G44" s="262">
        <v>5.0760000000000005</v>
      </c>
      <c r="H44" s="260">
        <v>8.0730000000000004</v>
      </c>
    </row>
    <row r="45" spans="1:8" ht="17" x14ac:dyDescent="0.2">
      <c r="A45" s="270"/>
      <c r="B45" s="368" t="s">
        <v>391</v>
      </c>
      <c r="C45" s="262">
        <v>77.4378548916022</v>
      </c>
      <c r="D45" s="260">
        <v>119.56634187611729</v>
      </c>
      <c r="E45" s="262">
        <v>77.4378548916022</v>
      </c>
      <c r="F45" s="262">
        <v>119.56634187611729</v>
      </c>
      <c r="G45" s="262">
        <v>77.4378548916022</v>
      </c>
      <c r="H45" s="260">
        <v>119.56634187611729</v>
      </c>
    </row>
    <row r="46" spans="1:8" ht="17" x14ac:dyDescent="0.2">
      <c r="B46" s="368" t="s">
        <v>399</v>
      </c>
      <c r="C46" s="262">
        <v>46.872956966567386</v>
      </c>
      <c r="D46" s="260">
        <v>72.639735945874051</v>
      </c>
      <c r="E46" s="262">
        <v>46.872956966567386</v>
      </c>
      <c r="F46" s="262">
        <v>72.639735945874051</v>
      </c>
      <c r="G46" s="262">
        <v>46.872956966567386</v>
      </c>
      <c r="H46" s="260">
        <v>72.639735945874051</v>
      </c>
    </row>
    <row r="47" spans="1:8" ht="17" x14ac:dyDescent="0.2">
      <c r="A47" s="270"/>
      <c r="B47" s="203" t="s">
        <v>400</v>
      </c>
      <c r="C47" s="262">
        <v>79.077600000000018</v>
      </c>
      <c r="D47" s="260">
        <v>105.2244</v>
      </c>
      <c r="E47" s="262">
        <v>79.077600000000018</v>
      </c>
      <c r="F47" s="262">
        <v>105.2244</v>
      </c>
      <c r="G47" s="262">
        <v>79.077600000000018</v>
      </c>
      <c r="H47" s="260">
        <v>105.2244</v>
      </c>
    </row>
    <row r="48" spans="1:8" ht="18" customHeight="1" x14ac:dyDescent="0.2">
      <c r="A48" s="270"/>
      <c r="B48" s="368" t="s">
        <v>156</v>
      </c>
      <c r="C48" s="262">
        <v>166.07715627885574</v>
      </c>
      <c r="D48" s="260">
        <v>276.77894243270191</v>
      </c>
      <c r="E48" s="262">
        <v>129.80564827473623</v>
      </c>
      <c r="F48" s="262">
        <v>192.70954706594503</v>
      </c>
      <c r="G48" s="262">
        <v>104.29333289905011</v>
      </c>
      <c r="H48" s="260">
        <v>131.23749473970946</v>
      </c>
    </row>
    <row r="49" spans="1:8" ht="17" x14ac:dyDescent="0.2">
      <c r="A49" s="270"/>
      <c r="B49" s="368" t="s">
        <v>413</v>
      </c>
      <c r="C49" s="262">
        <v>34.073711999999993</v>
      </c>
      <c r="D49" s="260">
        <v>50.467104000000006</v>
      </c>
      <c r="E49" s="262">
        <v>33.795470399999999</v>
      </c>
      <c r="F49" s="262">
        <v>49.775615999999999</v>
      </c>
      <c r="G49" s="262">
        <v>34.073711999999993</v>
      </c>
      <c r="H49" s="260">
        <v>50.467104000000006</v>
      </c>
    </row>
    <row r="50" spans="1:8" ht="34" x14ac:dyDescent="0.2">
      <c r="A50" s="270"/>
      <c r="B50" s="368" t="s">
        <v>414</v>
      </c>
      <c r="C50" s="262">
        <v>12.499200000000002</v>
      </c>
      <c r="D50" s="260">
        <v>30.874139999999997</v>
      </c>
      <c r="E50" s="262">
        <v>12.499200000000002</v>
      </c>
      <c r="F50" s="262">
        <v>30.874139999999997</v>
      </c>
      <c r="G50" s="262">
        <v>12.499200000000002</v>
      </c>
      <c r="H50" s="260">
        <v>30.874139999999997</v>
      </c>
    </row>
    <row r="51" spans="1:8" ht="17" x14ac:dyDescent="0.2">
      <c r="B51" s="370" t="s">
        <v>620</v>
      </c>
      <c r="C51" s="263">
        <v>42.257478428571432</v>
      </c>
      <c r="D51" s="261">
        <v>79.584600000000009</v>
      </c>
      <c r="E51" s="263">
        <v>42.257478428571432</v>
      </c>
      <c r="F51" s="263">
        <v>79.584600000000009</v>
      </c>
      <c r="G51" s="263">
        <v>42.257478428571432</v>
      </c>
      <c r="H51" s="261">
        <v>79.584600000000009</v>
      </c>
    </row>
    <row r="55" spans="1:8" x14ac:dyDescent="0.2">
      <c r="A55" s="462" t="s">
        <v>635</v>
      </c>
      <c r="B55" s="462"/>
      <c r="C55" s="462"/>
      <c r="D55" s="462"/>
      <c r="E55" s="462"/>
      <c r="F55" s="462"/>
    </row>
    <row r="59" spans="1:8" x14ac:dyDescent="0.2">
      <c r="B59" s="480" t="s">
        <v>588</v>
      </c>
      <c r="C59" s="478" t="s">
        <v>491</v>
      </c>
      <c r="D59" s="479"/>
      <c r="E59" s="478" t="s">
        <v>487</v>
      </c>
      <c r="F59" s="479"/>
      <c r="G59" s="478" t="s">
        <v>482</v>
      </c>
      <c r="H59" s="479"/>
    </row>
    <row r="60" spans="1:8" x14ac:dyDescent="0.2">
      <c r="B60" s="481"/>
      <c r="C60" s="269" t="s">
        <v>483</v>
      </c>
      <c r="D60" s="268" t="s">
        <v>485</v>
      </c>
      <c r="E60" s="269" t="s">
        <v>483</v>
      </c>
      <c r="F60" s="268" t="s">
        <v>485</v>
      </c>
      <c r="G60" s="269" t="s">
        <v>483</v>
      </c>
      <c r="H60" s="268" t="s">
        <v>485</v>
      </c>
    </row>
    <row r="61" spans="1:8" x14ac:dyDescent="0.2">
      <c r="B61" s="371" t="s">
        <v>525</v>
      </c>
      <c r="C61" s="375">
        <v>86.423713846153859</v>
      </c>
      <c r="D61" s="375">
        <v>182.91005999999999</v>
      </c>
      <c r="E61" s="375">
        <v>43.21185692307693</v>
      </c>
      <c r="F61" s="375">
        <v>91.455029999999994</v>
      </c>
      <c r="G61" s="375">
        <v>10.802964230769232</v>
      </c>
      <c r="H61" s="260">
        <v>22.863757499999998</v>
      </c>
    </row>
    <row r="62" spans="1:8" x14ac:dyDescent="0.2">
      <c r="B62" s="372" t="s">
        <v>170</v>
      </c>
      <c r="C62" s="262">
        <v>5.5879200000000013</v>
      </c>
      <c r="D62" s="262">
        <v>10.07136</v>
      </c>
      <c r="E62" s="262">
        <v>5.5879200000000013</v>
      </c>
      <c r="F62" s="262">
        <v>10.07136</v>
      </c>
      <c r="G62" s="262">
        <v>5.5879200000000013</v>
      </c>
      <c r="H62" s="260">
        <v>10.07136</v>
      </c>
    </row>
    <row r="63" spans="1:8" x14ac:dyDescent="0.2">
      <c r="B63" s="372" t="s">
        <v>526</v>
      </c>
      <c r="C63" s="262">
        <v>29.704522432701896</v>
      </c>
      <c r="D63" s="262">
        <v>32.821522432701897</v>
      </c>
      <c r="E63" s="262">
        <v>36.644871351659305</v>
      </c>
      <c r="F63" s="262">
        <v>40.207157065945026</v>
      </c>
      <c r="G63" s="262">
        <v>43.541448668280879</v>
      </c>
      <c r="H63" s="260">
        <v>47.326377239709444</v>
      </c>
    </row>
    <row r="64" spans="1:8" x14ac:dyDescent="0.2">
      <c r="B64" s="373" t="s">
        <v>205</v>
      </c>
      <c r="C64" s="263">
        <v>44.360999999999997</v>
      </c>
      <c r="D64" s="263">
        <v>50.975999999999992</v>
      </c>
      <c r="E64" s="263">
        <v>44.360999999999997</v>
      </c>
      <c r="F64" s="263">
        <v>50.975999999999992</v>
      </c>
      <c r="G64" s="263">
        <v>44.360999999999997</v>
      </c>
      <c r="H64" s="261">
        <v>50.975999999999992</v>
      </c>
    </row>
    <row r="93" spans="2:8" x14ac:dyDescent="0.2">
      <c r="B93" s="362"/>
      <c r="C93" s="362"/>
      <c r="D93" s="362"/>
      <c r="E93" s="362"/>
      <c r="F93" s="362"/>
      <c r="G93" s="362"/>
      <c r="H93" s="362"/>
    </row>
    <row r="94" spans="2:8" x14ac:dyDescent="0.2">
      <c r="B94" s="270"/>
      <c r="C94" s="363"/>
      <c r="D94" s="363"/>
      <c r="E94" s="363"/>
      <c r="F94" s="363"/>
      <c r="G94" s="363"/>
      <c r="H94" s="363"/>
    </row>
    <row r="95" spans="2:8" x14ac:dyDescent="0.2">
      <c r="B95" s="364"/>
    </row>
    <row r="96" spans="2:8" x14ac:dyDescent="0.2">
      <c r="B96" s="364"/>
    </row>
    <row r="97" spans="2:2" x14ac:dyDescent="0.2">
      <c r="B97" s="364"/>
    </row>
    <row r="98" spans="2:2" x14ac:dyDescent="0.2">
      <c r="B98" s="364"/>
    </row>
    <row r="99" spans="2:2" x14ac:dyDescent="0.2">
      <c r="B99" s="84"/>
    </row>
    <row r="100" spans="2:2" x14ac:dyDescent="0.2">
      <c r="B100" s="364"/>
    </row>
    <row r="101" spans="2:2" x14ac:dyDescent="0.2">
      <c r="B101" s="364"/>
    </row>
    <row r="102" spans="2:2" x14ac:dyDescent="0.2">
      <c r="B102" s="364"/>
    </row>
    <row r="103" spans="2:2" x14ac:dyDescent="0.2">
      <c r="B103" s="364"/>
    </row>
    <row r="113" spans="2:8" x14ac:dyDescent="0.2">
      <c r="B113" s="82"/>
      <c r="C113" s="82"/>
      <c r="D113" s="82"/>
      <c r="E113" s="82"/>
      <c r="F113" s="82"/>
      <c r="G113" s="82"/>
      <c r="H113" s="82"/>
    </row>
    <row r="114" spans="2:8" x14ac:dyDescent="0.2">
      <c r="C114" s="251"/>
      <c r="D114" s="251"/>
      <c r="E114" s="251"/>
      <c r="F114" s="251"/>
      <c r="G114" s="251"/>
      <c r="H114" s="251"/>
    </row>
    <row r="115" spans="2:8" x14ac:dyDescent="0.2">
      <c r="B115" s="82"/>
    </row>
    <row r="116" spans="2:8" x14ac:dyDescent="0.2">
      <c r="B116" s="82"/>
    </row>
    <row r="117" spans="2:8" x14ac:dyDescent="0.2">
      <c r="B117" s="82"/>
    </row>
    <row r="118" spans="2:8" x14ac:dyDescent="0.2">
      <c r="B118" s="82"/>
    </row>
  </sheetData>
  <mergeCells count="23">
    <mergeCell ref="A1:E1"/>
    <mergeCell ref="B8:B9"/>
    <mergeCell ref="B10:B11"/>
    <mergeCell ref="B12:B13"/>
    <mergeCell ref="A3:F3"/>
    <mergeCell ref="A19:F19"/>
    <mergeCell ref="A36:F36"/>
    <mergeCell ref="G39:H39"/>
    <mergeCell ref="B41:B42"/>
    <mergeCell ref="A55:F55"/>
    <mergeCell ref="B23:B24"/>
    <mergeCell ref="B25:B26"/>
    <mergeCell ref="B27:B28"/>
    <mergeCell ref="C39:D39"/>
    <mergeCell ref="E39:F39"/>
    <mergeCell ref="C41:D41"/>
    <mergeCell ref="E41:F41"/>
    <mergeCell ref="G41:H41"/>
    <mergeCell ref="C59:D59"/>
    <mergeCell ref="E59:F59"/>
    <mergeCell ref="G59:H59"/>
    <mergeCell ref="B59:B60"/>
    <mergeCell ref="A37:B37"/>
  </mergeCells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69776-0218-6445-A4D5-7188C63D2085}">
  <dimension ref="A1:AF21"/>
  <sheetViews>
    <sheetView zoomScale="116" zoomScaleNormal="100" workbookViewId="0">
      <selection activeCell="D24" sqref="D24"/>
    </sheetView>
  </sheetViews>
  <sheetFormatPr baseColWidth="10" defaultColWidth="11" defaultRowHeight="16" x14ac:dyDescent="0.2"/>
  <cols>
    <col min="1" max="1" width="3.6640625" customWidth="1"/>
    <col min="2" max="2" width="10.83203125" customWidth="1"/>
  </cols>
  <sheetData>
    <row r="1" spans="1:32" x14ac:dyDescent="0.2">
      <c r="A1" s="487" t="s">
        <v>590</v>
      </c>
      <c r="B1" s="487"/>
    </row>
    <row r="2" spans="1:32" x14ac:dyDescent="0.2">
      <c r="A2">
        <v>1</v>
      </c>
      <c r="B2" t="s">
        <v>591</v>
      </c>
    </row>
    <row r="3" spans="1:32" x14ac:dyDescent="0.2">
      <c r="A3">
        <v>2</v>
      </c>
      <c r="B3" s="258" t="s">
        <v>592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</row>
    <row r="4" spans="1:32" x14ac:dyDescent="0.2">
      <c r="A4">
        <v>3</v>
      </c>
      <c r="B4" s="250" t="s">
        <v>593</v>
      </c>
    </row>
    <row r="5" spans="1:32" x14ac:dyDescent="0.2">
      <c r="A5">
        <v>4</v>
      </c>
      <c r="B5" s="250" t="s">
        <v>594</v>
      </c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</row>
    <row r="6" spans="1:32" x14ac:dyDescent="0.2">
      <c r="A6">
        <v>5</v>
      </c>
      <c r="B6" t="s">
        <v>595</v>
      </c>
    </row>
    <row r="7" spans="1:32" x14ac:dyDescent="0.2">
      <c r="A7">
        <v>6</v>
      </c>
      <c r="B7" t="s">
        <v>596</v>
      </c>
    </row>
    <row r="8" spans="1:32" x14ac:dyDescent="0.2">
      <c r="A8">
        <v>7</v>
      </c>
      <c r="B8" t="s">
        <v>597</v>
      </c>
    </row>
    <row r="9" spans="1:32" x14ac:dyDescent="0.2">
      <c r="A9">
        <v>8</v>
      </c>
      <c r="B9" s="18" t="s">
        <v>598</v>
      </c>
    </row>
    <row r="10" spans="1:32" x14ac:dyDescent="0.2">
      <c r="A10">
        <v>9</v>
      </c>
      <c r="B10" t="s">
        <v>599</v>
      </c>
    </row>
    <row r="11" spans="1:32" x14ac:dyDescent="0.2">
      <c r="A11">
        <v>10</v>
      </c>
      <c r="B11" t="s">
        <v>600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 x14ac:dyDescent="0.2">
      <c r="A12">
        <v>11</v>
      </c>
      <c r="B12" t="s">
        <v>601</v>
      </c>
    </row>
    <row r="13" spans="1:32" x14ac:dyDescent="0.2">
      <c r="A13">
        <v>12</v>
      </c>
      <c r="B13" t="s">
        <v>602</v>
      </c>
    </row>
    <row r="14" spans="1:32" x14ac:dyDescent="0.2">
      <c r="A14">
        <v>13</v>
      </c>
      <c r="B14" t="s">
        <v>603</v>
      </c>
    </row>
    <row r="15" spans="1:32" x14ac:dyDescent="0.2">
      <c r="A15">
        <v>14</v>
      </c>
      <c r="B15" t="s">
        <v>604</v>
      </c>
    </row>
    <row r="16" spans="1:32" x14ac:dyDescent="0.2">
      <c r="A16">
        <v>15</v>
      </c>
      <c r="B16" t="s">
        <v>605</v>
      </c>
    </row>
    <row r="17" spans="1:2" x14ac:dyDescent="0.2">
      <c r="A17">
        <v>16</v>
      </c>
      <c r="B17" t="s">
        <v>606</v>
      </c>
    </row>
    <row r="18" spans="1:2" x14ac:dyDescent="0.2">
      <c r="A18">
        <v>17</v>
      </c>
      <c r="B18" t="s">
        <v>607</v>
      </c>
    </row>
    <row r="19" spans="1:2" x14ac:dyDescent="0.2">
      <c r="A19">
        <v>18</v>
      </c>
      <c r="B19" t="s">
        <v>608</v>
      </c>
    </row>
    <row r="20" spans="1:2" x14ac:dyDescent="0.2">
      <c r="A20">
        <v>19</v>
      </c>
      <c r="B20" t="s">
        <v>609</v>
      </c>
    </row>
    <row r="21" spans="1:2" x14ac:dyDescent="0.2">
      <c r="A21">
        <v>20</v>
      </c>
      <c r="B21" t="s">
        <v>610</v>
      </c>
    </row>
  </sheetData>
  <mergeCells count="1">
    <mergeCell ref="A1:B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90ED3-FDE5-944B-A932-B3C29FE5325D}">
  <sheetPr codeName="Tabelle12">
    <tabColor rgb="FF73FEFF"/>
    <pageSetUpPr fitToPage="1"/>
  </sheetPr>
  <dimension ref="A1:P144"/>
  <sheetViews>
    <sheetView zoomScale="94" zoomScaleNormal="109" workbookViewId="0">
      <pane ySplit="6" topLeftCell="A118" activePane="bottomLeft" state="frozen"/>
      <selection pane="bottomLeft" activeCell="C124" sqref="C124"/>
    </sheetView>
  </sheetViews>
  <sheetFormatPr baseColWidth="10" defaultColWidth="10.83203125" defaultRowHeight="16" x14ac:dyDescent="0.2"/>
  <cols>
    <col min="1" max="1" width="26.33203125" style="9" customWidth="1"/>
    <col min="2" max="2" width="33.33203125" style="1" customWidth="1"/>
    <col min="3" max="3" width="34" style="1" customWidth="1"/>
    <col min="4" max="4" width="17.6640625" style="1" customWidth="1"/>
    <col min="5" max="5" width="15" style="1" customWidth="1"/>
    <col min="6" max="6" width="32" style="1" customWidth="1"/>
    <col min="7" max="7" width="19" style="1" customWidth="1"/>
    <col min="8" max="8" width="16.33203125" style="1" customWidth="1"/>
    <col min="9" max="10" width="16" style="1" customWidth="1"/>
    <col min="11" max="12" width="15.5" style="1" customWidth="1"/>
    <col min="13" max="14" width="15.6640625" style="1" customWidth="1"/>
    <col min="15" max="15" width="15.33203125" style="1" customWidth="1"/>
    <col min="16" max="16" width="15.1640625" style="1" customWidth="1"/>
    <col min="17" max="16384" width="10.83203125" style="1"/>
  </cols>
  <sheetData>
    <row r="1" spans="1:16" ht="16" customHeight="1" x14ac:dyDescent="0.2">
      <c r="A1" s="382" t="s">
        <v>12</v>
      </c>
      <c r="B1" s="383"/>
      <c r="C1" s="383"/>
      <c r="D1" s="383"/>
      <c r="E1" s="383"/>
      <c r="F1" s="383"/>
      <c r="G1" s="383"/>
      <c r="H1" s="384"/>
      <c r="J1" s="93"/>
      <c r="K1" s="93"/>
      <c r="L1" s="93"/>
      <c r="M1" s="93"/>
      <c r="N1" s="93"/>
      <c r="O1" s="93"/>
    </row>
    <row r="2" spans="1:16" ht="16" customHeight="1" x14ac:dyDescent="0.2">
      <c r="A2" s="385" t="s">
        <v>267</v>
      </c>
      <c r="B2" s="386"/>
      <c r="C2" s="386"/>
      <c r="D2" s="386"/>
      <c r="E2" s="386"/>
      <c r="F2" s="386"/>
      <c r="G2" s="386"/>
      <c r="H2" s="387"/>
      <c r="I2" s="86"/>
      <c r="P2" s="65"/>
    </row>
    <row r="3" spans="1:16" ht="16" customHeight="1" x14ac:dyDescent="0.2">
      <c r="A3" s="382" t="s">
        <v>14</v>
      </c>
      <c r="B3" s="383"/>
      <c r="C3" s="383"/>
      <c r="D3" s="383"/>
      <c r="E3" s="383"/>
      <c r="F3" s="383"/>
      <c r="G3" s="383"/>
      <c r="H3" s="384"/>
      <c r="I3" s="86"/>
      <c r="P3" s="65"/>
    </row>
    <row r="4" spans="1:16" ht="16" customHeight="1" x14ac:dyDescent="0.2">
      <c r="B4" s="9"/>
      <c r="I4" s="86"/>
      <c r="P4" s="65"/>
    </row>
    <row r="5" spans="1:16" ht="16" customHeight="1" x14ac:dyDescent="0.2">
      <c r="C5" s="376" t="s">
        <v>15</v>
      </c>
      <c r="D5" s="377"/>
      <c r="E5" s="378"/>
      <c r="F5" s="379" t="s">
        <v>16</v>
      </c>
      <c r="G5" s="380"/>
      <c r="H5" s="381"/>
      <c r="J5" s="94"/>
      <c r="K5" s="94"/>
      <c r="L5" s="94"/>
      <c r="M5" s="94"/>
      <c r="N5" s="94"/>
      <c r="O5" s="94"/>
    </row>
    <row r="6" spans="1:16" s="12" customFormat="1" ht="34" customHeight="1" x14ac:dyDescent="0.2">
      <c r="A6" s="12" t="s">
        <v>17</v>
      </c>
      <c r="B6" s="12" t="s">
        <v>18</v>
      </c>
      <c r="C6" s="30" t="s">
        <v>19</v>
      </c>
      <c r="D6" s="30" t="s">
        <v>20</v>
      </c>
      <c r="E6" s="30" t="s">
        <v>21</v>
      </c>
      <c r="F6" s="41" t="s">
        <v>19</v>
      </c>
      <c r="G6" s="41" t="s">
        <v>20</v>
      </c>
      <c r="H6" s="41" t="s">
        <v>21</v>
      </c>
      <c r="I6" s="397"/>
      <c r="J6" s="397"/>
      <c r="K6" s="397"/>
      <c r="L6" s="397"/>
      <c r="M6" s="397"/>
      <c r="N6" s="397"/>
      <c r="O6" s="397"/>
      <c r="P6" s="397"/>
    </row>
    <row r="7" spans="1:16" s="9" customFormat="1" x14ac:dyDescent="0.2">
      <c r="C7" s="30"/>
      <c r="D7" s="30"/>
      <c r="E7" s="30"/>
      <c r="F7" s="41"/>
      <c r="G7" s="41"/>
      <c r="H7" s="41"/>
    </row>
    <row r="8" spans="1:16" s="4" customFormat="1" ht="18" customHeight="1" x14ac:dyDescent="0.2">
      <c r="A8" s="12" t="s">
        <v>22</v>
      </c>
      <c r="B8" s="12" t="s">
        <v>23</v>
      </c>
      <c r="C8" s="12"/>
      <c r="D8" s="12"/>
      <c r="E8" s="12"/>
      <c r="F8" s="12"/>
      <c r="G8" s="12"/>
      <c r="H8" s="12"/>
    </row>
    <row r="9" spans="1:16" ht="19" customHeight="1" x14ac:dyDescent="0.2">
      <c r="B9" s="1" t="s">
        <v>24</v>
      </c>
      <c r="C9" s="39" t="s">
        <v>268</v>
      </c>
      <c r="D9" s="39">
        <v>2.89</v>
      </c>
      <c r="E9" s="39">
        <v>2.89</v>
      </c>
      <c r="F9" s="42" t="s">
        <v>268</v>
      </c>
      <c r="G9" s="42">
        <v>2.89</v>
      </c>
      <c r="H9" s="42">
        <v>2.89</v>
      </c>
    </row>
    <row r="10" spans="1:16" ht="34" x14ac:dyDescent="0.2">
      <c r="B10" s="1" t="s">
        <v>27</v>
      </c>
      <c r="C10" s="31" t="s">
        <v>269</v>
      </c>
      <c r="D10" s="31">
        <v>1.39</v>
      </c>
      <c r="E10" s="31">
        <v>3.48</v>
      </c>
      <c r="F10" s="42" t="s">
        <v>270</v>
      </c>
      <c r="G10" s="42">
        <v>2.19</v>
      </c>
      <c r="H10" s="42">
        <v>4.38</v>
      </c>
    </row>
    <row r="11" spans="1:16" ht="51" x14ac:dyDescent="0.2">
      <c r="B11" s="1" t="s">
        <v>30</v>
      </c>
      <c r="C11" s="31" t="s">
        <v>271</v>
      </c>
      <c r="D11" s="31">
        <v>1.59</v>
      </c>
      <c r="E11" s="31">
        <v>2.84</v>
      </c>
      <c r="F11" s="42" t="s">
        <v>272</v>
      </c>
      <c r="G11" s="42">
        <v>1.98</v>
      </c>
      <c r="H11" s="42">
        <v>5.25</v>
      </c>
    </row>
    <row r="12" spans="1:16" ht="17" x14ac:dyDescent="0.2">
      <c r="B12" s="1" t="s">
        <v>33</v>
      </c>
      <c r="C12" s="31" t="s">
        <v>273</v>
      </c>
      <c r="D12" s="31">
        <v>0.79</v>
      </c>
      <c r="E12" s="31">
        <v>1.58</v>
      </c>
      <c r="F12" s="42" t="s">
        <v>274</v>
      </c>
      <c r="G12" s="42">
        <v>0.95</v>
      </c>
      <c r="H12" s="42">
        <v>1.9</v>
      </c>
    </row>
    <row r="13" spans="1:16" ht="34" x14ac:dyDescent="0.2">
      <c r="B13" s="1" t="s">
        <v>36</v>
      </c>
      <c r="C13" s="39" t="s">
        <v>275</v>
      </c>
      <c r="D13" s="39">
        <v>1.49</v>
      </c>
      <c r="E13" s="39">
        <v>2.98</v>
      </c>
      <c r="F13" s="42" t="s">
        <v>275</v>
      </c>
      <c r="G13" s="42">
        <v>1.49</v>
      </c>
      <c r="H13" s="42">
        <v>2.98</v>
      </c>
    </row>
    <row r="14" spans="1:16" x14ac:dyDescent="0.2">
      <c r="A14" s="9">
        <v>5</v>
      </c>
      <c r="C14" s="31"/>
      <c r="D14" s="31"/>
      <c r="E14" s="31"/>
      <c r="F14" s="42"/>
      <c r="G14" s="42"/>
      <c r="H14" s="42"/>
    </row>
    <row r="15" spans="1:16" s="4" customFormat="1" ht="17" customHeight="1" x14ac:dyDescent="0.2">
      <c r="A15" s="12" t="s">
        <v>39</v>
      </c>
      <c r="B15" s="12" t="s">
        <v>40</v>
      </c>
      <c r="C15" s="12"/>
      <c r="D15" s="12"/>
      <c r="E15" s="12"/>
      <c r="F15" s="12"/>
      <c r="G15" s="12"/>
      <c r="H15" s="12"/>
    </row>
    <row r="16" spans="1:16" ht="34" x14ac:dyDescent="0.2">
      <c r="B16" s="1" t="s">
        <v>41</v>
      </c>
      <c r="C16" s="31" t="s">
        <v>276</v>
      </c>
      <c r="D16" s="31">
        <v>2.39</v>
      </c>
      <c r="E16" s="31">
        <v>0.96</v>
      </c>
      <c r="F16" s="42" t="s">
        <v>277</v>
      </c>
      <c r="G16" s="42">
        <v>2.19</v>
      </c>
      <c r="H16" s="42">
        <v>1.46</v>
      </c>
    </row>
    <row r="17" spans="1:8" x14ac:dyDescent="0.2">
      <c r="A17" s="9">
        <v>1</v>
      </c>
      <c r="C17" s="31"/>
      <c r="D17" s="31"/>
      <c r="E17" s="31"/>
      <c r="F17" s="42"/>
      <c r="G17" s="42"/>
      <c r="H17" s="42"/>
    </row>
    <row r="18" spans="1:8" s="4" customFormat="1" ht="20" x14ac:dyDescent="0.2">
      <c r="A18" s="12" t="s">
        <v>44</v>
      </c>
    </row>
    <row r="19" spans="1:8" x14ac:dyDescent="0.2">
      <c r="A19" s="3"/>
      <c r="C19" s="31"/>
      <c r="D19" s="31"/>
      <c r="E19" s="31"/>
      <c r="F19" s="42"/>
      <c r="G19" s="42"/>
      <c r="H19" s="42"/>
    </row>
    <row r="20" spans="1:8" s="4" customFormat="1" ht="17" x14ac:dyDescent="0.2">
      <c r="A20" s="12"/>
      <c r="B20" s="12" t="s">
        <v>45</v>
      </c>
      <c r="C20" s="12"/>
      <c r="D20" s="12"/>
      <c r="E20" s="12"/>
      <c r="F20" s="12"/>
      <c r="G20" s="12"/>
      <c r="H20" s="12"/>
    </row>
    <row r="21" spans="1:8" ht="20" x14ac:dyDescent="0.2">
      <c r="B21" s="16" t="s">
        <v>46</v>
      </c>
      <c r="C21" s="32" t="s">
        <v>278</v>
      </c>
      <c r="D21" s="32">
        <v>0.69</v>
      </c>
      <c r="E21" s="32">
        <f>1000/307*D21</f>
        <v>2.2475570032573291</v>
      </c>
      <c r="F21" s="43" t="s">
        <v>278</v>
      </c>
      <c r="G21" s="43">
        <v>0.69</v>
      </c>
      <c r="H21" s="44">
        <f>1000/307*G21</f>
        <v>2.2475570032573291</v>
      </c>
    </row>
    <row r="22" spans="1:8" ht="20" x14ac:dyDescent="0.2">
      <c r="B22" s="16" t="s">
        <v>48</v>
      </c>
      <c r="C22" s="32" t="s">
        <v>279</v>
      </c>
      <c r="D22" s="32">
        <v>0.69</v>
      </c>
      <c r="E22" s="32">
        <f>1000/240*D22</f>
        <v>2.875</v>
      </c>
      <c r="F22" s="56" t="s">
        <v>50</v>
      </c>
      <c r="G22" s="56">
        <v>2.99</v>
      </c>
      <c r="H22" s="56">
        <f>1000/250*G22</f>
        <v>11.96</v>
      </c>
    </row>
    <row r="23" spans="1:8" ht="34" x14ac:dyDescent="0.2">
      <c r="B23" s="16" t="s">
        <v>51</v>
      </c>
      <c r="C23" s="32" t="s">
        <v>280</v>
      </c>
      <c r="D23" s="32">
        <v>1.99</v>
      </c>
      <c r="E23" s="32">
        <v>1.99</v>
      </c>
      <c r="F23" s="44" t="s">
        <v>281</v>
      </c>
      <c r="G23" s="44">
        <v>2.4900000000000002</v>
      </c>
      <c r="H23" s="44">
        <v>3.32</v>
      </c>
    </row>
    <row r="24" spans="1:8" ht="20" x14ac:dyDescent="0.2">
      <c r="B24" s="16" t="s">
        <v>54</v>
      </c>
      <c r="C24" s="32" t="s">
        <v>282</v>
      </c>
      <c r="D24" s="32">
        <v>0.99</v>
      </c>
      <c r="E24" s="32">
        <f>1000/703*D24</f>
        <v>1.4082503556187767</v>
      </c>
      <c r="F24" s="56" t="s">
        <v>56</v>
      </c>
      <c r="G24" s="56">
        <v>2.69</v>
      </c>
      <c r="H24" s="56">
        <f>1000/703*G24</f>
        <v>3.8264580369843526</v>
      </c>
    </row>
    <row r="25" spans="1:8" ht="34" x14ac:dyDescent="0.2">
      <c r="B25" s="16" t="s">
        <v>57</v>
      </c>
      <c r="C25" s="32" t="s">
        <v>283</v>
      </c>
      <c r="D25" s="32">
        <v>0.99</v>
      </c>
      <c r="E25" s="32">
        <f>1000/240*D25</f>
        <v>4.125</v>
      </c>
      <c r="F25" s="45" t="s">
        <v>284</v>
      </c>
      <c r="G25" s="45">
        <v>1.69</v>
      </c>
      <c r="H25" s="45">
        <f>1000/240*G25</f>
        <v>7.041666666666667</v>
      </c>
    </row>
    <row r="26" spans="1:8" ht="20" x14ac:dyDescent="0.2">
      <c r="B26" s="10" t="s">
        <v>60</v>
      </c>
      <c r="C26" s="32" t="s">
        <v>285</v>
      </c>
      <c r="D26" s="32">
        <v>0.49</v>
      </c>
      <c r="E26" s="32">
        <f>1000/456*D26</f>
        <v>1.0745614035087721</v>
      </c>
      <c r="F26" s="44" t="s">
        <v>286</v>
      </c>
      <c r="G26" s="44">
        <v>0.59</v>
      </c>
      <c r="H26" s="44">
        <f>1000/456*G26</f>
        <v>1.2938596491228069</v>
      </c>
    </row>
    <row r="27" spans="1:8" ht="17" x14ac:dyDescent="0.2">
      <c r="B27" s="16" t="s">
        <v>63</v>
      </c>
      <c r="C27" s="32" t="s">
        <v>287</v>
      </c>
      <c r="D27" s="32">
        <v>1.49</v>
      </c>
      <c r="E27" s="32">
        <v>1.49</v>
      </c>
      <c r="F27" s="44" t="s">
        <v>288</v>
      </c>
      <c r="G27" s="44">
        <v>0.89</v>
      </c>
      <c r="H27" s="44">
        <v>1.78</v>
      </c>
    </row>
    <row r="28" spans="1:8" ht="34" x14ac:dyDescent="0.2">
      <c r="B28" s="16" t="s">
        <v>66</v>
      </c>
      <c r="C28" s="32" t="s">
        <v>289</v>
      </c>
      <c r="D28" s="32">
        <v>1.99</v>
      </c>
      <c r="E28" s="32">
        <v>1.99</v>
      </c>
      <c r="F28" s="56" t="s">
        <v>68</v>
      </c>
      <c r="G28" s="56">
        <v>1.59</v>
      </c>
      <c r="H28" s="56">
        <v>5.3</v>
      </c>
    </row>
    <row r="29" spans="1:8" x14ac:dyDescent="0.2">
      <c r="A29" s="9">
        <v>8</v>
      </c>
      <c r="B29" s="17"/>
      <c r="C29" s="32"/>
      <c r="D29" s="32"/>
      <c r="E29" s="32"/>
      <c r="F29" s="44"/>
      <c r="G29" s="44"/>
      <c r="H29" s="44"/>
    </row>
    <row r="30" spans="1:8" s="4" customFormat="1" ht="17" x14ac:dyDescent="0.2">
      <c r="A30" s="12"/>
      <c r="B30" s="12" t="s">
        <v>69</v>
      </c>
      <c r="C30" s="12"/>
      <c r="D30" s="12"/>
      <c r="E30" s="12"/>
      <c r="F30" s="12"/>
      <c r="G30" s="12"/>
      <c r="H30" s="81"/>
    </row>
    <row r="31" spans="1:8" ht="17" x14ac:dyDescent="0.2">
      <c r="B31" s="23" t="s">
        <v>70</v>
      </c>
      <c r="C31" s="32" t="s">
        <v>290</v>
      </c>
      <c r="D31" s="32">
        <v>2.99</v>
      </c>
      <c r="E31" s="32">
        <v>1.5</v>
      </c>
      <c r="F31" s="45" t="s">
        <v>291</v>
      </c>
      <c r="G31" s="44">
        <v>2.19</v>
      </c>
      <c r="H31" s="44">
        <v>2.19</v>
      </c>
    </row>
    <row r="32" spans="1:8" ht="17" x14ac:dyDescent="0.2">
      <c r="B32" s="10" t="s">
        <v>73</v>
      </c>
      <c r="C32" s="33" t="s">
        <v>292</v>
      </c>
      <c r="D32" s="33">
        <v>1.79</v>
      </c>
      <c r="E32" s="33">
        <v>1.79</v>
      </c>
      <c r="F32" s="45" t="s">
        <v>293</v>
      </c>
      <c r="G32" s="45">
        <v>2.29</v>
      </c>
      <c r="H32" s="45">
        <v>4.58</v>
      </c>
    </row>
    <row r="33" spans="1:8" ht="34" x14ac:dyDescent="0.2">
      <c r="B33" s="23" t="s">
        <v>76</v>
      </c>
      <c r="C33" s="33" t="s">
        <v>294</v>
      </c>
      <c r="D33" s="33">
        <v>0.85</v>
      </c>
      <c r="E33" s="33">
        <v>1.7</v>
      </c>
      <c r="F33" s="45" t="s">
        <v>295</v>
      </c>
      <c r="G33" s="45">
        <v>0.99</v>
      </c>
      <c r="H33" s="45">
        <v>1.98</v>
      </c>
    </row>
    <row r="34" spans="1:8" ht="51" x14ac:dyDescent="0.2">
      <c r="B34" s="23" t="s">
        <v>79</v>
      </c>
      <c r="C34" s="33" t="s">
        <v>296</v>
      </c>
      <c r="D34" s="33">
        <v>0.85</v>
      </c>
      <c r="E34" s="33">
        <f>1000/425*D34</f>
        <v>2</v>
      </c>
      <c r="F34" s="45" t="s">
        <v>297</v>
      </c>
      <c r="G34" s="45">
        <v>0.99</v>
      </c>
      <c r="H34" s="45">
        <f>1000/400*G34</f>
        <v>2.4750000000000001</v>
      </c>
    </row>
    <row r="35" spans="1:8" ht="17" x14ac:dyDescent="0.2">
      <c r="B35" s="16" t="s">
        <v>82</v>
      </c>
      <c r="C35" s="59" t="s">
        <v>298</v>
      </c>
      <c r="D35" s="60">
        <v>3.79</v>
      </c>
      <c r="E35" s="60">
        <v>3.79</v>
      </c>
      <c r="F35" s="66" t="s">
        <v>299</v>
      </c>
      <c r="G35" s="57">
        <v>2.19</v>
      </c>
      <c r="H35" s="57">
        <v>4.4800000000000004</v>
      </c>
    </row>
    <row r="36" spans="1:8" ht="20" x14ac:dyDescent="0.2">
      <c r="B36" s="16" t="s">
        <v>85</v>
      </c>
      <c r="C36" s="37" t="s">
        <v>300</v>
      </c>
      <c r="D36" s="35">
        <v>0.79</v>
      </c>
      <c r="E36" s="76">
        <f>1000/338*D36</f>
        <v>2.3372781065088759</v>
      </c>
      <c r="F36" s="56" t="s">
        <v>87</v>
      </c>
      <c r="G36" s="56">
        <v>1.29</v>
      </c>
      <c r="H36" s="77">
        <f>1000/338*G36</f>
        <v>3.8165680473372783</v>
      </c>
    </row>
    <row r="37" spans="1:8" x14ac:dyDescent="0.2">
      <c r="A37" s="9">
        <v>6</v>
      </c>
      <c r="C37" s="37"/>
      <c r="D37" s="35"/>
      <c r="E37" s="35"/>
      <c r="F37" s="196"/>
      <c r="G37" s="46"/>
      <c r="H37" s="46"/>
    </row>
    <row r="38" spans="1:8" s="4" customFormat="1" ht="17" x14ac:dyDescent="0.2">
      <c r="A38" s="12"/>
      <c r="B38" s="25" t="s">
        <v>88</v>
      </c>
      <c r="C38" s="12"/>
      <c r="D38" s="12"/>
      <c r="E38" s="12"/>
      <c r="F38" s="12"/>
      <c r="G38" s="12"/>
      <c r="H38" s="81"/>
    </row>
    <row r="39" spans="1:8" ht="17" x14ac:dyDescent="0.2">
      <c r="B39" s="16" t="s">
        <v>89</v>
      </c>
      <c r="C39" s="73" t="s">
        <v>90</v>
      </c>
      <c r="D39" s="73">
        <v>2.2400000000000002</v>
      </c>
      <c r="E39" s="73">
        <v>1.49</v>
      </c>
      <c r="F39" s="56" t="s">
        <v>90</v>
      </c>
      <c r="G39" s="56">
        <v>2.2400000000000002</v>
      </c>
      <c r="H39" s="56">
        <v>1.49</v>
      </c>
    </row>
    <row r="40" spans="1:8" ht="34" x14ac:dyDescent="0.2">
      <c r="B40" s="16" t="s">
        <v>91</v>
      </c>
      <c r="C40" s="32" t="s">
        <v>301</v>
      </c>
      <c r="D40" s="32">
        <v>1.99</v>
      </c>
      <c r="E40" s="32">
        <v>1.99</v>
      </c>
      <c r="F40" s="42" t="s">
        <v>302</v>
      </c>
      <c r="G40" s="42">
        <v>2.4900000000000002</v>
      </c>
      <c r="H40" s="42">
        <v>3.32</v>
      </c>
    </row>
    <row r="41" spans="1:8" ht="17" x14ac:dyDescent="0.2">
      <c r="B41" s="10" t="s">
        <v>94</v>
      </c>
      <c r="C41" s="32" t="s">
        <v>303</v>
      </c>
      <c r="D41" s="32">
        <v>1.99</v>
      </c>
      <c r="E41" s="32">
        <v>1.99</v>
      </c>
      <c r="F41" s="56" t="s">
        <v>96</v>
      </c>
      <c r="G41" s="56">
        <v>2.29</v>
      </c>
      <c r="H41" s="56">
        <v>1.99</v>
      </c>
    </row>
    <row r="42" spans="1:8" ht="34" x14ac:dyDescent="0.2">
      <c r="B42" s="10" t="s">
        <v>97</v>
      </c>
      <c r="C42" s="32" t="s">
        <v>304</v>
      </c>
      <c r="D42" s="32">
        <v>1.99</v>
      </c>
      <c r="E42" s="32">
        <v>4.9800000000000004</v>
      </c>
      <c r="F42" s="45" t="s">
        <v>305</v>
      </c>
      <c r="G42" s="45">
        <v>1.79</v>
      </c>
      <c r="H42" s="45">
        <v>7.16</v>
      </c>
    </row>
    <row r="43" spans="1:8" ht="17" x14ac:dyDescent="0.2">
      <c r="B43" s="16" t="s">
        <v>100</v>
      </c>
      <c r="C43" s="31" t="s">
        <v>306</v>
      </c>
      <c r="D43" s="31">
        <v>9.9</v>
      </c>
      <c r="E43" s="31">
        <v>9.9</v>
      </c>
      <c r="F43" s="51" t="s">
        <v>306</v>
      </c>
      <c r="G43" s="51">
        <v>9.9</v>
      </c>
      <c r="H43" s="51">
        <v>9.9</v>
      </c>
    </row>
    <row r="44" spans="1:8" x14ac:dyDescent="0.2">
      <c r="A44" s="9">
        <v>5</v>
      </c>
      <c r="C44" s="31"/>
      <c r="D44" s="31"/>
      <c r="E44" s="31"/>
      <c r="F44" s="42"/>
      <c r="G44" s="42"/>
      <c r="H44" s="42"/>
    </row>
    <row r="45" spans="1:8" s="4" customFormat="1" ht="20" x14ac:dyDescent="0.2">
      <c r="A45" s="12" t="s">
        <v>102</v>
      </c>
      <c r="E45" s="4" t="s">
        <v>307</v>
      </c>
    </row>
    <row r="46" spans="1:8" ht="34" x14ac:dyDescent="0.2">
      <c r="B46" s="11" t="s">
        <v>103</v>
      </c>
      <c r="C46" s="36" t="s">
        <v>308</v>
      </c>
      <c r="D46" s="36">
        <v>1.89</v>
      </c>
      <c r="E46" s="36">
        <f>D46/2</f>
        <v>0.94499999999999995</v>
      </c>
      <c r="F46" s="47" t="s">
        <v>309</v>
      </c>
      <c r="G46" s="47">
        <v>2.39</v>
      </c>
      <c r="H46" s="47">
        <v>1.92</v>
      </c>
    </row>
    <row r="47" spans="1:8" ht="17" x14ac:dyDescent="0.2">
      <c r="B47" s="11" t="s">
        <v>106</v>
      </c>
      <c r="C47" s="36" t="s">
        <v>310</v>
      </c>
      <c r="D47" s="36">
        <v>1.79</v>
      </c>
      <c r="E47" s="36">
        <v>1.79</v>
      </c>
      <c r="F47" s="47" t="s">
        <v>108</v>
      </c>
      <c r="G47" s="47">
        <v>2.19</v>
      </c>
      <c r="H47" s="47">
        <v>3.65</v>
      </c>
    </row>
    <row r="48" spans="1:8" ht="34" x14ac:dyDescent="0.2">
      <c r="B48" s="11" t="s">
        <v>109</v>
      </c>
      <c r="C48" s="36" t="s">
        <v>311</v>
      </c>
      <c r="D48" s="36">
        <v>1.99</v>
      </c>
      <c r="E48" s="36">
        <v>3.98</v>
      </c>
      <c r="F48" s="49" t="s">
        <v>311</v>
      </c>
      <c r="G48" s="49">
        <v>1.99</v>
      </c>
      <c r="H48" s="49">
        <v>3.98</v>
      </c>
    </row>
    <row r="49" spans="1:8" ht="34" x14ac:dyDescent="0.2">
      <c r="B49" s="11" t="s">
        <v>111</v>
      </c>
      <c r="C49" s="36" t="s">
        <v>312</v>
      </c>
      <c r="D49" s="36">
        <v>3.99</v>
      </c>
      <c r="E49" s="36">
        <v>7.98</v>
      </c>
      <c r="F49" s="47" t="s">
        <v>313</v>
      </c>
      <c r="G49" s="47">
        <v>2.99</v>
      </c>
      <c r="H49" s="47">
        <v>9.9700000000000006</v>
      </c>
    </row>
    <row r="50" spans="1:8" ht="34" x14ac:dyDescent="0.2">
      <c r="B50" s="11" t="s">
        <v>114</v>
      </c>
      <c r="C50" s="61" t="s">
        <v>115</v>
      </c>
      <c r="D50" s="61">
        <v>2.99</v>
      </c>
      <c r="E50" s="61">
        <v>5.98</v>
      </c>
      <c r="F50" s="47" t="s">
        <v>314</v>
      </c>
      <c r="G50" s="47">
        <v>2.99</v>
      </c>
      <c r="H50" s="47">
        <v>9.9700000000000006</v>
      </c>
    </row>
    <row r="51" spans="1:8" ht="34" x14ac:dyDescent="0.2">
      <c r="B51" s="11" t="s">
        <v>117</v>
      </c>
      <c r="C51" s="36" t="s">
        <v>315</v>
      </c>
      <c r="D51" s="36">
        <v>2.99</v>
      </c>
      <c r="E51" s="36">
        <v>3.99</v>
      </c>
      <c r="F51" s="47" t="s">
        <v>316</v>
      </c>
      <c r="G51" s="47">
        <v>2.99</v>
      </c>
      <c r="H51" s="47">
        <v>9.9700000000000006</v>
      </c>
    </row>
    <row r="52" spans="1:8" ht="17" x14ac:dyDescent="0.2">
      <c r="B52" s="11" t="s">
        <v>119</v>
      </c>
      <c r="C52" s="36" t="s">
        <v>317</v>
      </c>
      <c r="D52" s="36">
        <v>1.69</v>
      </c>
      <c r="E52" s="36">
        <v>3.38</v>
      </c>
      <c r="F52" s="49" t="s">
        <v>317</v>
      </c>
      <c r="G52" s="49">
        <v>1.69</v>
      </c>
      <c r="H52" s="49">
        <v>3.38</v>
      </c>
    </row>
    <row r="53" spans="1:8" ht="17" x14ac:dyDescent="0.2">
      <c r="B53" s="11" t="s">
        <v>121</v>
      </c>
      <c r="C53" s="36" t="s">
        <v>318</v>
      </c>
      <c r="D53" s="36">
        <v>1.29</v>
      </c>
      <c r="E53" s="36">
        <v>1.29</v>
      </c>
      <c r="F53" s="47" t="s">
        <v>319</v>
      </c>
      <c r="G53" s="47">
        <v>1.99</v>
      </c>
      <c r="H53" s="47">
        <v>1.99</v>
      </c>
    </row>
    <row r="54" spans="1:8" ht="17" x14ac:dyDescent="0.2">
      <c r="B54" s="1" t="s">
        <v>124</v>
      </c>
      <c r="C54" s="31" t="s">
        <v>320</v>
      </c>
      <c r="D54" s="31">
        <v>1.99</v>
      </c>
      <c r="E54" s="31">
        <v>3.98</v>
      </c>
      <c r="F54" s="51" t="s">
        <v>320</v>
      </c>
      <c r="G54" s="51">
        <v>1.99</v>
      </c>
      <c r="H54" s="51">
        <v>3.98</v>
      </c>
    </row>
    <row r="55" spans="1:8" ht="17" x14ac:dyDescent="0.2">
      <c r="B55" s="11" t="s">
        <v>126</v>
      </c>
      <c r="C55" s="31" t="s">
        <v>321</v>
      </c>
      <c r="D55" s="31">
        <v>1.99</v>
      </c>
      <c r="E55" s="31">
        <v>3.98</v>
      </c>
      <c r="F55" s="51" t="s">
        <v>321</v>
      </c>
      <c r="G55" s="51">
        <v>1.99</v>
      </c>
      <c r="H55" s="51">
        <v>3.98</v>
      </c>
    </row>
    <row r="56" spans="1:8" x14ac:dyDescent="0.2">
      <c r="A56" s="9">
        <v>10</v>
      </c>
      <c r="B56" s="11"/>
      <c r="C56" s="31"/>
      <c r="D56" s="31"/>
      <c r="E56" s="31"/>
      <c r="F56" s="42"/>
      <c r="G56" s="42"/>
      <c r="H56" s="42"/>
    </row>
    <row r="57" spans="1:8" s="4" customFormat="1" ht="20" x14ac:dyDescent="0.2">
      <c r="A57" s="12" t="s">
        <v>128</v>
      </c>
    </row>
    <row r="58" spans="1:8" ht="34" x14ac:dyDescent="0.2">
      <c r="B58" s="1" t="s">
        <v>129</v>
      </c>
      <c r="C58" s="31" t="s">
        <v>322</v>
      </c>
      <c r="D58" s="31">
        <v>1.05</v>
      </c>
      <c r="E58" s="31">
        <v>1.05</v>
      </c>
      <c r="F58" s="42" t="s">
        <v>323</v>
      </c>
      <c r="G58" s="42">
        <v>1.25</v>
      </c>
      <c r="H58" s="42">
        <v>1.25</v>
      </c>
    </row>
    <row r="59" spans="1:8" ht="34" x14ac:dyDescent="0.2">
      <c r="B59" s="1" t="s">
        <v>132</v>
      </c>
      <c r="C59" s="31" t="s">
        <v>324</v>
      </c>
      <c r="D59" s="31">
        <v>0.85</v>
      </c>
      <c r="E59" s="31">
        <v>1.7</v>
      </c>
      <c r="F59" s="42" t="s">
        <v>325</v>
      </c>
      <c r="G59" s="42">
        <v>1.19</v>
      </c>
      <c r="H59" s="42">
        <f>1000/500*G59</f>
        <v>2.38</v>
      </c>
    </row>
    <row r="60" spans="1:8" ht="34" x14ac:dyDescent="0.2">
      <c r="B60" s="1" t="s">
        <v>135</v>
      </c>
      <c r="C60" s="31" t="s">
        <v>326</v>
      </c>
      <c r="D60" s="31">
        <v>1.39</v>
      </c>
      <c r="E60" s="31">
        <v>4.63</v>
      </c>
      <c r="F60" s="52" t="s">
        <v>137</v>
      </c>
      <c r="G60" s="52">
        <v>1.29</v>
      </c>
      <c r="H60" s="52">
        <v>7.37</v>
      </c>
    </row>
    <row r="61" spans="1:8" ht="34" x14ac:dyDescent="0.2">
      <c r="B61" s="1" t="s">
        <v>138</v>
      </c>
      <c r="C61" s="31" t="s">
        <v>327</v>
      </c>
      <c r="D61" s="31">
        <v>0.7</v>
      </c>
      <c r="E61" s="31">
        <v>2.8</v>
      </c>
      <c r="F61" s="42" t="s">
        <v>328</v>
      </c>
      <c r="G61" s="42">
        <v>1.05</v>
      </c>
      <c r="H61" s="42">
        <v>4.2</v>
      </c>
    </row>
    <row r="62" spans="1:8" ht="34" x14ac:dyDescent="0.2">
      <c r="B62" s="1" t="s">
        <v>141</v>
      </c>
      <c r="C62" s="31" t="s">
        <v>329</v>
      </c>
      <c r="D62" s="31">
        <v>0.99</v>
      </c>
      <c r="E62" s="31">
        <v>7.92</v>
      </c>
      <c r="F62" s="42" t="s">
        <v>330</v>
      </c>
      <c r="G62" s="42">
        <v>1.29</v>
      </c>
      <c r="H62" s="42">
        <v>10.32</v>
      </c>
    </row>
    <row r="63" spans="1:8" ht="31" customHeight="1" x14ac:dyDescent="0.2">
      <c r="B63" s="1" t="s">
        <v>144</v>
      </c>
      <c r="C63" s="31" t="s">
        <v>331</v>
      </c>
      <c r="D63" s="31">
        <v>0.69</v>
      </c>
      <c r="E63" s="31">
        <v>3.45</v>
      </c>
      <c r="F63" s="42" t="s">
        <v>332</v>
      </c>
      <c r="G63" s="42">
        <v>0.85</v>
      </c>
      <c r="H63" s="42">
        <v>4.25</v>
      </c>
    </row>
    <row r="64" spans="1:8" ht="34" x14ac:dyDescent="0.2">
      <c r="B64" s="1" t="s">
        <v>147</v>
      </c>
      <c r="C64" s="31" t="s">
        <v>333</v>
      </c>
      <c r="D64" s="31">
        <v>2.4900000000000002</v>
      </c>
      <c r="E64" s="31">
        <f>1000/250*D64</f>
        <v>9.9600000000000009</v>
      </c>
      <c r="F64" s="42" t="s">
        <v>334</v>
      </c>
      <c r="G64" s="42">
        <v>2.19</v>
      </c>
      <c r="H64" s="42">
        <v>10.95</v>
      </c>
    </row>
    <row r="65" spans="1:8" ht="37" x14ac:dyDescent="0.2">
      <c r="B65" s="1" t="s">
        <v>150</v>
      </c>
      <c r="C65" s="31" t="s">
        <v>335</v>
      </c>
      <c r="D65" s="31">
        <v>2.89</v>
      </c>
      <c r="E65" s="31">
        <v>11.56</v>
      </c>
      <c r="F65" s="52" t="s">
        <v>152</v>
      </c>
      <c r="G65" s="52">
        <v>2.19</v>
      </c>
      <c r="H65" s="52">
        <v>14.6</v>
      </c>
    </row>
    <row r="66" spans="1:8" ht="34" x14ac:dyDescent="0.2">
      <c r="B66" s="1" t="s">
        <v>153</v>
      </c>
      <c r="C66" s="31" t="s">
        <v>336</v>
      </c>
      <c r="D66" s="31">
        <v>1.99</v>
      </c>
      <c r="E66" s="31">
        <v>9.9499999999999993</v>
      </c>
      <c r="F66" s="42" t="s">
        <v>337</v>
      </c>
      <c r="G66" s="42">
        <v>2.39</v>
      </c>
      <c r="H66" s="42">
        <v>13.28</v>
      </c>
    </row>
    <row r="67" spans="1:8" x14ac:dyDescent="0.2">
      <c r="A67" s="9">
        <v>9</v>
      </c>
      <c r="C67" s="31"/>
      <c r="D67" s="31"/>
      <c r="E67" s="31"/>
      <c r="F67" s="42"/>
      <c r="G67" s="42"/>
      <c r="H67" s="42"/>
    </row>
    <row r="68" spans="1:8" s="4" customFormat="1" ht="17" x14ac:dyDescent="0.2">
      <c r="A68" s="12" t="s">
        <v>156</v>
      </c>
      <c r="B68" s="12" t="s">
        <v>157</v>
      </c>
    </row>
    <row r="69" spans="1:8" ht="34" x14ac:dyDescent="0.2">
      <c r="B69" s="1" t="s">
        <v>158</v>
      </c>
      <c r="C69" s="31" t="s">
        <v>338</v>
      </c>
      <c r="D69" s="31">
        <v>4.8899999999999997</v>
      </c>
      <c r="E69" s="31">
        <v>9.7799999999999994</v>
      </c>
      <c r="F69" s="42" t="s">
        <v>339</v>
      </c>
      <c r="G69" s="42">
        <v>4.79</v>
      </c>
      <c r="H69" s="42">
        <v>11.98</v>
      </c>
    </row>
    <row r="70" spans="1:8" x14ac:dyDescent="0.2">
      <c r="A70" s="9">
        <v>1</v>
      </c>
      <c r="C70" s="31"/>
      <c r="D70" s="31"/>
      <c r="E70" s="31"/>
      <c r="F70" s="42"/>
      <c r="G70" s="42"/>
      <c r="H70" s="42"/>
    </row>
    <row r="71" spans="1:8" s="4" customFormat="1" ht="17" x14ac:dyDescent="0.2">
      <c r="A71" s="12"/>
      <c r="B71" s="12" t="s">
        <v>161</v>
      </c>
    </row>
    <row r="72" spans="1:8" ht="34" x14ac:dyDescent="0.2">
      <c r="B72" s="1" t="s">
        <v>162</v>
      </c>
      <c r="C72" s="31" t="s">
        <v>340</v>
      </c>
      <c r="D72" s="31">
        <v>4.49</v>
      </c>
      <c r="E72" s="31">
        <v>8.98</v>
      </c>
      <c r="F72" s="42" t="s">
        <v>341</v>
      </c>
      <c r="G72" s="42">
        <v>4.49</v>
      </c>
      <c r="H72" s="42">
        <v>17.96</v>
      </c>
    </row>
    <row r="73" spans="1:8" x14ac:dyDescent="0.2">
      <c r="A73" s="9">
        <v>1</v>
      </c>
      <c r="C73" s="31"/>
      <c r="D73" s="31"/>
      <c r="E73" s="31"/>
      <c r="F73" s="42"/>
      <c r="G73" s="42"/>
      <c r="H73" s="42"/>
    </row>
    <row r="74" spans="1:8" s="4" customFormat="1" ht="17" x14ac:dyDescent="0.2">
      <c r="A74" s="12"/>
      <c r="B74" s="12" t="s">
        <v>165</v>
      </c>
    </row>
    <row r="75" spans="1:8" ht="34" x14ac:dyDescent="0.2">
      <c r="B75" s="1" t="s">
        <v>166</v>
      </c>
      <c r="C75" s="31" t="s">
        <v>342</v>
      </c>
      <c r="D75" s="31">
        <v>5.99</v>
      </c>
      <c r="E75" s="31">
        <v>9.98</v>
      </c>
      <c r="F75" s="42" t="s">
        <v>343</v>
      </c>
      <c r="G75" s="42">
        <v>8.4700000000000006</v>
      </c>
      <c r="H75" s="42">
        <v>24.99</v>
      </c>
    </row>
    <row r="76" spans="1:8" x14ac:dyDescent="0.2">
      <c r="A76" s="9">
        <v>1</v>
      </c>
      <c r="C76" s="31"/>
      <c r="D76" s="31"/>
      <c r="E76" s="31"/>
      <c r="F76" s="42"/>
      <c r="G76" s="42"/>
      <c r="H76" s="42"/>
    </row>
    <row r="77" spans="1:8" s="4" customFormat="1" ht="17" x14ac:dyDescent="0.2">
      <c r="A77" s="12"/>
      <c r="B77" s="12" t="s">
        <v>169</v>
      </c>
    </row>
    <row r="78" spans="1:8" ht="34" x14ac:dyDescent="0.2">
      <c r="A78" s="1"/>
      <c r="B78" s="1" t="s">
        <v>170</v>
      </c>
      <c r="C78" s="31" t="s">
        <v>344</v>
      </c>
      <c r="D78" s="31">
        <v>1.99</v>
      </c>
      <c r="E78" s="31">
        <f>1000/500*D78</f>
        <v>3.98</v>
      </c>
      <c r="F78" s="42" t="s">
        <v>345</v>
      </c>
      <c r="G78" s="42">
        <v>3.19</v>
      </c>
      <c r="H78" s="42">
        <f>1000/500*G78</f>
        <v>6.38</v>
      </c>
    </row>
    <row r="79" spans="1:8" x14ac:dyDescent="0.2">
      <c r="A79" s="9">
        <v>1</v>
      </c>
      <c r="C79" s="31"/>
      <c r="D79" s="31"/>
      <c r="E79" s="31"/>
      <c r="F79" s="42"/>
      <c r="G79" s="42"/>
      <c r="H79" s="42"/>
    </row>
    <row r="80" spans="1:8" s="4" customFormat="1" ht="20" x14ac:dyDescent="0.2">
      <c r="A80" s="12"/>
      <c r="B80" s="12" t="s">
        <v>173</v>
      </c>
    </row>
    <row r="81" spans="1:8" ht="17" x14ac:dyDescent="0.2">
      <c r="B81" s="1" t="s">
        <v>174</v>
      </c>
      <c r="C81" s="31" t="s">
        <v>346</v>
      </c>
      <c r="D81" s="31">
        <v>5.99</v>
      </c>
      <c r="E81" s="31">
        <v>23.96</v>
      </c>
      <c r="F81" s="42" t="s">
        <v>347</v>
      </c>
      <c r="G81" s="42">
        <v>7.99</v>
      </c>
      <c r="H81" s="42">
        <v>31.96</v>
      </c>
    </row>
    <row r="82" spans="1:8" ht="34" x14ac:dyDescent="0.2">
      <c r="B82" s="1" t="s">
        <v>177</v>
      </c>
      <c r="C82" s="31" t="s">
        <v>178</v>
      </c>
      <c r="D82" s="31">
        <v>7.49</v>
      </c>
      <c r="E82" s="31">
        <v>7.49</v>
      </c>
      <c r="F82" s="51" t="s">
        <v>178</v>
      </c>
      <c r="G82" s="51">
        <v>7.49</v>
      </c>
      <c r="H82" s="51">
        <v>7.49</v>
      </c>
    </row>
    <row r="83" spans="1:8" ht="51" x14ac:dyDescent="0.2">
      <c r="B83" s="1" t="s">
        <v>179</v>
      </c>
      <c r="C83" s="31" t="s">
        <v>348</v>
      </c>
      <c r="D83" s="31">
        <v>1.49</v>
      </c>
      <c r="E83" s="31">
        <f>1000/195*D83</f>
        <v>7.6410256410256414</v>
      </c>
      <c r="F83" s="228" t="s">
        <v>181</v>
      </c>
      <c r="G83" s="228">
        <v>3.29</v>
      </c>
      <c r="H83" s="228">
        <f>1000/160*G83</f>
        <v>20.5625</v>
      </c>
    </row>
    <row r="84" spans="1:8" x14ac:dyDescent="0.2">
      <c r="A84" s="9">
        <v>3</v>
      </c>
      <c r="C84" s="31"/>
      <c r="D84" s="31"/>
      <c r="E84" s="31"/>
      <c r="F84" s="42"/>
      <c r="G84" s="42"/>
      <c r="H84" s="42"/>
    </row>
    <row r="85" spans="1:8" s="4" customFormat="1" ht="20" x14ac:dyDescent="0.2">
      <c r="A85" s="12"/>
      <c r="B85" s="12" t="s">
        <v>182</v>
      </c>
    </row>
    <row r="86" spans="1:8" ht="34" x14ac:dyDescent="0.2">
      <c r="B86" s="1" t="s">
        <v>183</v>
      </c>
      <c r="C86" s="31" t="s">
        <v>184</v>
      </c>
      <c r="D86" s="31">
        <v>1.99</v>
      </c>
      <c r="E86" s="31">
        <v>3.98</v>
      </c>
      <c r="F86" s="42" t="s">
        <v>349</v>
      </c>
      <c r="G86" s="42">
        <v>1.65</v>
      </c>
      <c r="H86" s="42">
        <v>3.3</v>
      </c>
    </row>
    <row r="87" spans="1:8" ht="17" x14ac:dyDescent="0.2">
      <c r="B87" s="1" t="s">
        <v>186</v>
      </c>
      <c r="C87" s="229" t="s">
        <v>187</v>
      </c>
      <c r="D87" s="229">
        <v>1.19</v>
      </c>
      <c r="E87" s="229">
        <f>1000/400*D87</f>
        <v>2.9749999999999996</v>
      </c>
      <c r="F87" s="228" t="s">
        <v>188</v>
      </c>
      <c r="G87" s="228">
        <v>1.29</v>
      </c>
      <c r="H87" s="228">
        <f>1000/360*G87</f>
        <v>3.5833333333333335</v>
      </c>
    </row>
    <row r="88" spans="1:8" ht="51" x14ac:dyDescent="0.2">
      <c r="B88" s="1" t="s">
        <v>189</v>
      </c>
      <c r="C88" s="31" t="s">
        <v>350</v>
      </c>
      <c r="D88" s="31">
        <v>0.69</v>
      </c>
      <c r="E88" s="31">
        <f>1000/400*D88</f>
        <v>1.7249999999999999</v>
      </c>
      <c r="F88" s="42" t="s">
        <v>351</v>
      </c>
      <c r="G88" s="42">
        <v>0.99</v>
      </c>
      <c r="H88" s="42">
        <f>1000/360*G88</f>
        <v>2.75</v>
      </c>
    </row>
    <row r="89" spans="1:8" ht="34" x14ac:dyDescent="0.2">
      <c r="B89" s="1" t="s">
        <v>192</v>
      </c>
      <c r="C89" s="38" t="s">
        <v>193</v>
      </c>
      <c r="D89" s="38">
        <v>1.99</v>
      </c>
      <c r="E89" s="38">
        <v>1.99</v>
      </c>
      <c r="F89" s="42" t="s">
        <v>352</v>
      </c>
      <c r="G89" s="42">
        <v>2.4900000000000002</v>
      </c>
      <c r="H89" s="42">
        <v>3.32</v>
      </c>
    </row>
    <row r="90" spans="1:8" ht="34" x14ac:dyDescent="0.2">
      <c r="B90" s="1" t="s">
        <v>195</v>
      </c>
      <c r="C90" s="31" t="s">
        <v>353</v>
      </c>
      <c r="D90" s="31">
        <v>0.69</v>
      </c>
      <c r="E90" s="31">
        <f>1000/400*D90</f>
        <v>1.7249999999999999</v>
      </c>
      <c r="F90" s="42" t="s">
        <v>354</v>
      </c>
      <c r="G90" s="42">
        <v>0.99</v>
      </c>
      <c r="H90" s="53">
        <f>1000/360*G90</f>
        <v>2.75</v>
      </c>
    </row>
    <row r="91" spans="1:8" ht="34" x14ac:dyDescent="0.2">
      <c r="A91" s="1"/>
      <c r="B91" s="1" t="s">
        <v>198</v>
      </c>
      <c r="C91" s="31" t="s">
        <v>355</v>
      </c>
      <c r="D91" s="31">
        <v>0.99</v>
      </c>
      <c r="E91" s="31">
        <f>1000/295*D91</f>
        <v>3.3559322033898304</v>
      </c>
      <c r="F91" s="51" t="s">
        <v>355</v>
      </c>
      <c r="G91" s="51">
        <v>0.99</v>
      </c>
      <c r="H91" s="51">
        <f>1000/295*G91</f>
        <v>3.3559322033898304</v>
      </c>
    </row>
    <row r="92" spans="1:8" x14ac:dyDescent="0.2">
      <c r="A92" s="9">
        <v>6</v>
      </c>
      <c r="C92" s="31"/>
      <c r="D92" s="31"/>
      <c r="E92" s="31"/>
      <c r="F92" s="42"/>
      <c r="G92" s="42"/>
      <c r="H92" s="42"/>
    </row>
    <row r="93" spans="1:8" s="4" customFormat="1" ht="17" x14ac:dyDescent="0.2">
      <c r="A93" s="12"/>
      <c r="B93" s="12" t="s">
        <v>200</v>
      </c>
    </row>
    <row r="94" spans="1:8" ht="34" x14ac:dyDescent="0.2">
      <c r="B94" s="1" t="s">
        <v>201</v>
      </c>
      <c r="C94" s="39" t="s">
        <v>356</v>
      </c>
      <c r="D94" s="39">
        <v>2.19</v>
      </c>
      <c r="E94" s="39">
        <v>5.48</v>
      </c>
      <c r="F94" s="42" t="s">
        <v>356</v>
      </c>
      <c r="G94" s="42">
        <v>2.19</v>
      </c>
      <c r="H94" s="42">
        <v>5.48</v>
      </c>
    </row>
    <row r="95" spans="1:8" ht="34" x14ac:dyDescent="0.2">
      <c r="B95" s="1" t="s">
        <v>203</v>
      </c>
      <c r="C95" s="39" t="s">
        <v>357</v>
      </c>
      <c r="D95" s="39">
        <v>2.19</v>
      </c>
      <c r="E95" s="39">
        <v>6.26</v>
      </c>
      <c r="F95" s="42" t="s">
        <v>357</v>
      </c>
      <c r="G95" s="42">
        <v>2.19</v>
      </c>
      <c r="H95" s="42">
        <v>6.26</v>
      </c>
    </row>
    <row r="96" spans="1:8" x14ac:dyDescent="0.2">
      <c r="A96" s="9">
        <v>2</v>
      </c>
      <c r="C96" s="31"/>
      <c r="D96" s="31"/>
      <c r="E96" s="31"/>
      <c r="F96" s="42"/>
      <c r="G96" s="42"/>
      <c r="H96" s="42"/>
    </row>
    <row r="97" spans="1:8" s="4" customFormat="1" ht="17" x14ac:dyDescent="0.2">
      <c r="A97" s="12"/>
      <c r="B97" s="12" t="s">
        <v>205</v>
      </c>
    </row>
    <row r="98" spans="1:8" s="4" customFormat="1" ht="17" x14ac:dyDescent="0.2">
      <c r="A98" s="12"/>
      <c r="B98" s="12" t="s">
        <v>206</v>
      </c>
    </row>
    <row r="99" spans="1:8" ht="17" x14ac:dyDescent="0.2">
      <c r="A99" s="1"/>
      <c r="B99" s="1" t="s">
        <v>207</v>
      </c>
      <c r="C99" s="31" t="s">
        <v>358</v>
      </c>
      <c r="D99" s="31">
        <v>1.99</v>
      </c>
      <c r="E99" s="31">
        <v>4.9800000000000004</v>
      </c>
      <c r="F99" s="51" t="s">
        <v>358</v>
      </c>
      <c r="G99" s="51">
        <v>1.99</v>
      </c>
      <c r="H99" s="51">
        <v>4.9800000000000004</v>
      </c>
    </row>
    <row r="100" spans="1:8" x14ac:dyDescent="0.2">
      <c r="A100" s="9">
        <v>1</v>
      </c>
      <c r="C100" s="31"/>
      <c r="D100" s="31"/>
      <c r="E100" s="31"/>
      <c r="F100" s="51"/>
      <c r="G100" s="51"/>
      <c r="H100" s="51"/>
    </row>
    <row r="101" spans="1:8" s="4" customFormat="1" ht="20" x14ac:dyDescent="0.2">
      <c r="A101" s="12"/>
      <c r="B101" s="12" t="s">
        <v>209</v>
      </c>
    </row>
    <row r="102" spans="1:8" ht="17" x14ac:dyDescent="0.2">
      <c r="B102" s="1" t="s">
        <v>210</v>
      </c>
      <c r="C102" s="31" t="s">
        <v>359</v>
      </c>
      <c r="D102" s="31">
        <v>2.29</v>
      </c>
      <c r="E102" s="31">
        <v>11.45</v>
      </c>
      <c r="F102" s="42" t="s">
        <v>360</v>
      </c>
      <c r="G102" s="42">
        <v>2.95</v>
      </c>
      <c r="H102" s="42">
        <v>14.75</v>
      </c>
    </row>
    <row r="103" spans="1:8" ht="34" x14ac:dyDescent="0.2">
      <c r="B103" s="1" t="s">
        <v>213</v>
      </c>
      <c r="C103" s="31" t="s">
        <v>361</v>
      </c>
      <c r="D103" s="31">
        <v>2.29</v>
      </c>
      <c r="E103" s="31">
        <v>11.45</v>
      </c>
      <c r="F103" s="51" t="s">
        <v>361</v>
      </c>
      <c r="G103" s="51">
        <v>2.29</v>
      </c>
      <c r="H103" s="51">
        <v>11.45</v>
      </c>
    </row>
    <row r="104" spans="1:8" x14ac:dyDescent="0.2">
      <c r="A104" s="9">
        <v>2</v>
      </c>
      <c r="C104" s="31"/>
      <c r="D104" s="31"/>
      <c r="E104" s="31"/>
      <c r="F104" s="42"/>
      <c r="G104" s="42"/>
      <c r="H104" s="42"/>
    </row>
    <row r="105" spans="1:8" s="4" customFormat="1" ht="17" customHeight="1" x14ac:dyDescent="0.2">
      <c r="A105" s="12" t="s">
        <v>215</v>
      </c>
    </row>
    <row r="106" spans="1:8" ht="51" x14ac:dyDescent="0.2">
      <c r="B106" s="1" t="s">
        <v>216</v>
      </c>
      <c r="C106" s="31" t="s">
        <v>362</v>
      </c>
      <c r="D106" s="31">
        <v>1.69</v>
      </c>
      <c r="E106" s="31">
        <v>3.38</v>
      </c>
      <c r="F106" s="52" t="s">
        <v>218</v>
      </c>
      <c r="G106" s="52">
        <v>1.79</v>
      </c>
      <c r="H106" s="52">
        <v>7.16</v>
      </c>
    </row>
    <row r="107" spans="1:8" x14ac:dyDescent="0.2">
      <c r="A107" s="9">
        <v>1</v>
      </c>
      <c r="C107" s="31"/>
      <c r="D107" s="31"/>
      <c r="E107" s="31"/>
      <c r="F107" s="42"/>
      <c r="G107" s="42"/>
      <c r="H107" s="42"/>
    </row>
    <row r="108" spans="1:8" s="4" customFormat="1" ht="17" x14ac:dyDescent="0.2">
      <c r="A108" s="12"/>
      <c r="B108" s="12" t="s">
        <v>219</v>
      </c>
    </row>
    <row r="109" spans="1:8" ht="17" x14ac:dyDescent="0.2">
      <c r="B109" s="1" t="s">
        <v>220</v>
      </c>
      <c r="C109" s="31" t="s">
        <v>363</v>
      </c>
      <c r="D109" s="31">
        <v>1.85</v>
      </c>
      <c r="E109" s="31">
        <v>1.851</v>
      </c>
      <c r="F109" s="42" t="s">
        <v>364</v>
      </c>
      <c r="G109" s="42">
        <v>1.85</v>
      </c>
      <c r="H109" s="42">
        <f>G109*2</f>
        <v>3.7</v>
      </c>
    </row>
    <row r="110" spans="1:8" ht="17" x14ac:dyDescent="0.2">
      <c r="B110" s="1" t="s">
        <v>223</v>
      </c>
      <c r="C110" s="31" t="s">
        <v>365</v>
      </c>
      <c r="D110" s="31">
        <v>5.99</v>
      </c>
      <c r="E110" s="31">
        <v>7.99</v>
      </c>
      <c r="F110" s="42" t="s">
        <v>366</v>
      </c>
      <c r="G110" s="42">
        <v>6.99</v>
      </c>
      <c r="H110" s="42">
        <v>9.32</v>
      </c>
    </row>
    <row r="111" spans="1:8" ht="17" x14ac:dyDescent="0.2">
      <c r="A111" s="1"/>
      <c r="B111" s="1" t="s">
        <v>226</v>
      </c>
      <c r="C111" s="39" t="s">
        <v>367</v>
      </c>
      <c r="D111" s="39">
        <v>1.69</v>
      </c>
      <c r="E111" s="39">
        <v>6.76</v>
      </c>
      <c r="F111" s="42" t="s">
        <v>367</v>
      </c>
      <c r="G111" s="42">
        <v>1.69</v>
      </c>
      <c r="H111" s="42">
        <v>6.76</v>
      </c>
    </row>
    <row r="112" spans="1:8" x14ac:dyDescent="0.2">
      <c r="A112" s="9">
        <v>3</v>
      </c>
      <c r="C112" s="39"/>
      <c r="D112" s="39"/>
      <c r="E112" s="39"/>
      <c r="F112" s="42"/>
      <c r="G112" s="42"/>
      <c r="H112" s="42"/>
    </row>
    <row r="113" spans="1:8" s="4" customFormat="1" ht="17" x14ac:dyDescent="0.2">
      <c r="A113" s="12"/>
      <c r="B113" s="12" t="s">
        <v>229</v>
      </c>
    </row>
    <row r="114" spans="1:8" ht="68" x14ac:dyDescent="0.2">
      <c r="B114" s="1" t="s">
        <v>230</v>
      </c>
      <c r="C114" s="31" t="s">
        <v>368</v>
      </c>
      <c r="D114" s="31">
        <v>1.45</v>
      </c>
      <c r="E114" s="31">
        <v>5.8</v>
      </c>
      <c r="F114" s="52" t="s">
        <v>232</v>
      </c>
      <c r="G114" s="52">
        <v>2.99</v>
      </c>
      <c r="H114" s="52">
        <v>11.96</v>
      </c>
    </row>
    <row r="115" spans="1:8" x14ac:dyDescent="0.2">
      <c r="A115" s="9">
        <v>1</v>
      </c>
      <c r="C115" s="31"/>
      <c r="D115" s="31"/>
      <c r="E115" s="31"/>
      <c r="F115" s="42"/>
      <c r="G115" s="42"/>
      <c r="H115" s="42"/>
    </row>
    <row r="116" spans="1:8" s="4" customFormat="1" ht="21" customHeight="1" x14ac:dyDescent="0.2">
      <c r="A116" s="12" t="s">
        <v>233</v>
      </c>
    </row>
    <row r="117" spans="1:8" ht="17" x14ac:dyDescent="0.2">
      <c r="A117" s="20"/>
      <c r="B117" s="1" t="s">
        <v>234</v>
      </c>
      <c r="C117" s="31" t="s">
        <v>369</v>
      </c>
      <c r="D117" s="31">
        <v>1.49</v>
      </c>
      <c r="E117" s="31">
        <v>1.49</v>
      </c>
      <c r="F117" s="52" t="s">
        <v>236</v>
      </c>
      <c r="G117" s="52">
        <v>2.59</v>
      </c>
      <c r="H117" s="52">
        <v>2.59</v>
      </c>
    </row>
    <row r="118" spans="1:8" ht="51" x14ac:dyDescent="0.2">
      <c r="B118" s="1" t="s">
        <v>237</v>
      </c>
      <c r="C118" s="31" t="s">
        <v>370</v>
      </c>
      <c r="D118" s="31">
        <v>0.59</v>
      </c>
      <c r="E118" s="31">
        <v>5.9</v>
      </c>
      <c r="F118" s="42" t="s">
        <v>371</v>
      </c>
      <c r="G118" s="42">
        <v>1.29</v>
      </c>
      <c r="H118" s="42">
        <v>12.9</v>
      </c>
    </row>
    <row r="119" spans="1:8" ht="17" x14ac:dyDescent="0.2">
      <c r="B119" s="1" t="s">
        <v>240</v>
      </c>
      <c r="C119" s="31" t="s">
        <v>372</v>
      </c>
      <c r="D119" s="31">
        <v>0.99</v>
      </c>
      <c r="E119" s="31">
        <v>3.96</v>
      </c>
      <c r="F119" s="42" t="s">
        <v>373</v>
      </c>
      <c r="G119" s="42">
        <v>1.89</v>
      </c>
      <c r="H119" s="42">
        <v>9.4499999999999993</v>
      </c>
    </row>
    <row r="120" spans="1:8" x14ac:dyDescent="0.2">
      <c r="A120" s="9">
        <v>3</v>
      </c>
      <c r="B120" s="15"/>
      <c r="C120" s="40"/>
      <c r="D120" s="40"/>
      <c r="E120" s="40"/>
      <c r="F120" s="55"/>
      <c r="G120" s="55"/>
      <c r="H120" s="55"/>
    </row>
    <row r="121" spans="1:8" s="4" customFormat="1" ht="20" x14ac:dyDescent="0.2">
      <c r="A121" s="12" t="s">
        <v>612</v>
      </c>
    </row>
    <row r="122" spans="1:8" ht="34" x14ac:dyDescent="0.2">
      <c r="B122" s="1" t="s">
        <v>243</v>
      </c>
      <c r="C122" s="31" t="s">
        <v>374</v>
      </c>
      <c r="D122" s="31">
        <v>0.27</v>
      </c>
      <c r="E122" s="31">
        <v>0.18</v>
      </c>
      <c r="F122" s="51" t="s">
        <v>374</v>
      </c>
      <c r="G122" s="51">
        <v>0.27</v>
      </c>
      <c r="H122" s="51">
        <v>0.18</v>
      </c>
    </row>
    <row r="123" spans="1:8" ht="20" x14ac:dyDescent="0.2">
      <c r="B123" s="1" t="s">
        <v>245</v>
      </c>
      <c r="C123" s="31" t="s">
        <v>375</v>
      </c>
      <c r="D123" s="31">
        <v>3.99</v>
      </c>
      <c r="E123" s="31">
        <v>7.98</v>
      </c>
      <c r="F123" s="42" t="s">
        <v>376</v>
      </c>
      <c r="G123" s="42">
        <v>5.69</v>
      </c>
      <c r="H123" s="42">
        <v>11.38</v>
      </c>
    </row>
    <row r="124" spans="1:8" ht="34" x14ac:dyDescent="0.2">
      <c r="B124" s="1" t="s">
        <v>248</v>
      </c>
      <c r="C124" s="31" t="s">
        <v>377</v>
      </c>
      <c r="D124" s="31">
        <v>0.69</v>
      </c>
      <c r="E124" s="31">
        <v>12.27</v>
      </c>
      <c r="F124" s="52" t="s">
        <v>250</v>
      </c>
      <c r="G124" s="52">
        <v>2.69</v>
      </c>
      <c r="H124" s="52">
        <v>67.25</v>
      </c>
    </row>
    <row r="125" spans="1:8" ht="51" x14ac:dyDescent="0.2">
      <c r="B125" s="1" t="s">
        <v>251</v>
      </c>
      <c r="C125" s="31" t="s">
        <v>378</v>
      </c>
      <c r="D125" s="31">
        <v>2.69</v>
      </c>
      <c r="E125" s="31">
        <v>0.9</v>
      </c>
      <c r="F125" s="52" t="s">
        <v>253</v>
      </c>
      <c r="G125" s="52">
        <v>9.99</v>
      </c>
      <c r="H125" s="52">
        <v>2</v>
      </c>
    </row>
    <row r="126" spans="1:8" ht="34" x14ac:dyDescent="0.2">
      <c r="B126" s="1" t="s">
        <v>254</v>
      </c>
      <c r="C126" s="31" t="s">
        <v>379</v>
      </c>
      <c r="D126" s="31">
        <v>2.19</v>
      </c>
      <c r="E126" s="31">
        <v>2.92</v>
      </c>
      <c r="F126" s="42" t="s">
        <v>380</v>
      </c>
      <c r="G126" s="42">
        <v>2.59</v>
      </c>
      <c r="H126" s="42">
        <v>3.45</v>
      </c>
    </row>
    <row r="127" spans="1:8" x14ac:dyDescent="0.2">
      <c r="A127" s="9">
        <v>5</v>
      </c>
      <c r="C127" s="31"/>
      <c r="D127" s="31"/>
      <c r="E127" s="31"/>
      <c r="F127" s="42"/>
      <c r="G127" s="42"/>
      <c r="H127" s="42"/>
    </row>
    <row r="128" spans="1:8" ht="24" customHeight="1" x14ac:dyDescent="0.2">
      <c r="A128" s="12" t="s">
        <v>611</v>
      </c>
      <c r="B128" s="4"/>
      <c r="C128" s="4"/>
      <c r="D128" s="4"/>
      <c r="E128" s="4"/>
      <c r="F128" s="4"/>
      <c r="G128" s="4"/>
      <c r="H128" s="4"/>
    </row>
    <row r="129" spans="1:8" ht="34" x14ac:dyDescent="0.2">
      <c r="B129" s="1" t="s">
        <v>243</v>
      </c>
      <c r="C129" s="31" t="s">
        <v>374</v>
      </c>
      <c r="D129" s="31">
        <v>0.27</v>
      </c>
      <c r="E129" s="31">
        <v>0.18</v>
      </c>
      <c r="F129" s="51" t="s">
        <v>374</v>
      </c>
      <c r="G129" s="51">
        <v>0.27</v>
      </c>
      <c r="H129" s="51">
        <v>0.18</v>
      </c>
    </row>
    <row r="130" spans="1:8" ht="34" x14ac:dyDescent="0.2">
      <c r="B130" s="1" t="s">
        <v>257</v>
      </c>
      <c r="C130" s="31" t="s">
        <v>377</v>
      </c>
      <c r="D130" s="31">
        <v>0.69</v>
      </c>
      <c r="E130" s="31">
        <v>12.27</v>
      </c>
      <c r="F130" s="52" t="s">
        <v>250</v>
      </c>
      <c r="G130" s="52">
        <v>2.69</v>
      </c>
      <c r="H130" s="52">
        <v>67.25</v>
      </c>
    </row>
    <row r="131" spans="1:8" ht="34" x14ac:dyDescent="0.2">
      <c r="B131" s="1" t="s">
        <v>258</v>
      </c>
      <c r="C131" s="31" t="s">
        <v>381</v>
      </c>
      <c r="D131" s="31">
        <v>0.59</v>
      </c>
      <c r="E131" s="31">
        <v>0.39</v>
      </c>
      <c r="F131" s="52" t="s">
        <v>260</v>
      </c>
      <c r="G131" s="52">
        <v>1.25</v>
      </c>
      <c r="H131" s="52">
        <v>3.79</v>
      </c>
    </row>
    <row r="132" spans="1:8" ht="34" x14ac:dyDescent="0.2">
      <c r="B132" s="1" t="s">
        <v>261</v>
      </c>
      <c r="C132" s="31" t="s">
        <v>382</v>
      </c>
      <c r="D132" s="31">
        <v>1.29</v>
      </c>
      <c r="E132" s="31">
        <v>1.29</v>
      </c>
      <c r="F132" s="42" t="s">
        <v>383</v>
      </c>
      <c r="G132" s="42">
        <v>2.4900000000000002</v>
      </c>
      <c r="H132" s="42">
        <v>3.32</v>
      </c>
    </row>
    <row r="133" spans="1:8" x14ac:dyDescent="0.2">
      <c r="A133" s="9">
        <v>4</v>
      </c>
      <c r="C133" s="31"/>
      <c r="D133" s="31"/>
      <c r="E133" s="31"/>
      <c r="F133" s="42"/>
      <c r="G133" s="42"/>
      <c r="H133" s="42"/>
    </row>
    <row r="134" spans="1:8" ht="17" x14ac:dyDescent="0.2">
      <c r="A134" s="12" t="s">
        <v>264</v>
      </c>
      <c r="B134" s="4"/>
      <c r="C134" s="4"/>
      <c r="D134" s="4"/>
      <c r="E134" s="4"/>
      <c r="F134" s="4"/>
      <c r="G134" s="4"/>
      <c r="H134" s="4"/>
    </row>
    <row r="135" spans="1:8" x14ac:dyDescent="0.2">
      <c r="A135" s="9">
        <f>A127+A120+A115+A107+A104+A100+A96+A92+A84+A79+A76+A73+A70+A67+A56+A44+A37+A17+A14+A29+A112</f>
        <v>75</v>
      </c>
    </row>
    <row r="137" spans="1:8" s="4" customFormat="1" ht="17" x14ac:dyDescent="0.2">
      <c r="A137" s="12" t="s">
        <v>265</v>
      </c>
    </row>
    <row r="138" spans="1:8" x14ac:dyDescent="0.2">
      <c r="A138" s="9">
        <f>A133+A120+A92+A112+A107+A104+A100+A96+A84+A67+A79+A76+A73+A70+A56+A44+A37+A14+A17+A29+A115</f>
        <v>74</v>
      </c>
    </row>
    <row r="140" spans="1:8" x14ac:dyDescent="0.2">
      <c r="F140" s="67"/>
      <c r="G140" s="67"/>
      <c r="H140" s="67"/>
    </row>
    <row r="142" spans="1:8" x14ac:dyDescent="0.2">
      <c r="A142" s="399" t="s">
        <v>266</v>
      </c>
      <c r="B142" s="400"/>
      <c r="C142" s="400"/>
      <c r="D142" s="400"/>
      <c r="E142" s="400"/>
      <c r="F142" s="401"/>
    </row>
    <row r="143" spans="1:8" ht="16" customHeight="1" x14ac:dyDescent="0.2">
      <c r="A143" s="150"/>
      <c r="B143" s="391" t="s">
        <v>630</v>
      </c>
      <c r="C143" s="392"/>
      <c r="D143" s="392"/>
      <c r="E143" s="392"/>
      <c r="F143" s="393"/>
    </row>
    <row r="144" spans="1:8" ht="16" customHeight="1" x14ac:dyDescent="0.2">
      <c r="A144" s="149"/>
      <c r="B144" s="394" t="s">
        <v>629</v>
      </c>
      <c r="C144" s="395"/>
      <c r="D144" s="395"/>
      <c r="E144" s="395"/>
      <c r="F144" s="396"/>
    </row>
  </sheetData>
  <mergeCells count="12">
    <mergeCell ref="O6:P6"/>
    <mergeCell ref="I6:J6"/>
    <mergeCell ref="K6:L6"/>
    <mergeCell ref="M6:N6"/>
    <mergeCell ref="C5:E5"/>
    <mergeCell ref="F5:H5"/>
    <mergeCell ref="B143:F143"/>
    <mergeCell ref="B144:F144"/>
    <mergeCell ref="A142:F142"/>
    <mergeCell ref="A1:H1"/>
    <mergeCell ref="A2:H2"/>
    <mergeCell ref="A3:H3"/>
  </mergeCells>
  <pageMargins left="0.7" right="0.7" top="0.78740157499999996" bottom="0.78740157499999996" header="0.3" footer="0.3"/>
  <pageSetup paperSize="9" scale="23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5B379-98A8-A14A-9729-48211143FC60}">
  <sheetPr codeName="Tabelle1">
    <tabColor rgb="FFE1CFF3"/>
    <pageSetUpPr fitToPage="1"/>
  </sheetPr>
  <dimension ref="A1:N139"/>
  <sheetViews>
    <sheetView zoomScale="125" zoomScaleNormal="80" workbookViewId="0">
      <pane ySplit="5" topLeftCell="A6" activePane="bottomLeft" state="frozen"/>
      <selection pane="bottomLeft" activeCell="D13" sqref="D13"/>
    </sheetView>
  </sheetViews>
  <sheetFormatPr baseColWidth="10" defaultColWidth="10.83203125" defaultRowHeight="16" x14ac:dyDescent="0.2"/>
  <cols>
    <col min="1" max="1" width="26.5" style="9" customWidth="1"/>
    <col min="2" max="2" width="30.83203125" style="1" customWidth="1"/>
    <col min="3" max="3" width="10.1640625" style="1" customWidth="1"/>
    <col min="4" max="4" width="19.33203125" style="1" customWidth="1"/>
    <col min="5" max="5" width="23.33203125" style="1" customWidth="1"/>
    <col min="6" max="6" width="19.33203125" style="1" customWidth="1"/>
    <col min="7" max="8" width="16" style="1" customWidth="1"/>
    <col min="9" max="9" width="15.5" style="1" customWidth="1"/>
    <col min="10" max="10" width="15.33203125" style="1" customWidth="1"/>
    <col min="11" max="12" width="15.6640625" style="1" customWidth="1"/>
    <col min="13" max="13" width="15.33203125" style="1" customWidth="1"/>
    <col min="14" max="14" width="15.1640625" style="1" customWidth="1"/>
    <col min="15" max="16384" width="10.83203125" style="1"/>
  </cols>
  <sheetData>
    <row r="1" spans="1:14" ht="17" customHeight="1" x14ac:dyDescent="0.2">
      <c r="A1" s="382" t="s">
        <v>384</v>
      </c>
      <c r="B1" s="383"/>
      <c r="C1" s="383"/>
      <c r="D1" s="383"/>
      <c r="E1" s="383"/>
      <c r="F1" s="384"/>
      <c r="G1" s="86"/>
      <c r="H1" s="115"/>
      <c r="I1" s="115"/>
      <c r="J1" s="65"/>
    </row>
    <row r="2" spans="1:14" ht="16" customHeight="1" x14ac:dyDescent="0.2">
      <c r="A2" s="382" t="s">
        <v>631</v>
      </c>
      <c r="B2" s="383"/>
      <c r="C2" s="383"/>
      <c r="D2" s="383"/>
      <c r="E2" s="383"/>
      <c r="F2" s="384"/>
      <c r="G2" s="402"/>
      <c r="H2" s="403"/>
      <c r="I2" s="403"/>
      <c r="J2" s="404"/>
    </row>
    <row r="3" spans="1:14" ht="20" customHeight="1" x14ac:dyDescent="0.2">
      <c r="A3" s="382" t="s">
        <v>385</v>
      </c>
      <c r="B3" s="383"/>
      <c r="C3" s="383"/>
      <c r="D3" s="383"/>
      <c r="E3" s="383"/>
      <c r="F3" s="384"/>
      <c r="G3" s="402"/>
      <c r="H3" s="404"/>
      <c r="I3" s="2"/>
    </row>
    <row r="4" spans="1:14" x14ac:dyDescent="0.2">
      <c r="C4" s="3"/>
    </row>
    <row r="5" spans="1:14" s="12" customFormat="1" ht="34" customHeight="1" x14ac:dyDescent="0.2">
      <c r="A5" s="12" t="s">
        <v>17</v>
      </c>
      <c r="B5" s="12" t="s">
        <v>18</v>
      </c>
      <c r="C5" s="12" t="s">
        <v>386</v>
      </c>
      <c r="D5" s="12" t="s">
        <v>387</v>
      </c>
      <c r="E5" s="12" t="s">
        <v>388</v>
      </c>
      <c r="F5" s="12" t="s">
        <v>389</v>
      </c>
      <c r="G5" s="397"/>
      <c r="H5" s="397"/>
      <c r="I5" s="397"/>
      <c r="J5" s="397"/>
      <c r="K5" s="397"/>
      <c r="L5" s="397"/>
      <c r="M5" s="397"/>
      <c r="N5" s="397"/>
    </row>
    <row r="6" spans="1:14" s="9" customFormat="1" x14ac:dyDescent="0.2">
      <c r="E6" s="9">
        <v>7</v>
      </c>
    </row>
    <row r="7" spans="1:14" s="4" customFormat="1" ht="18" customHeight="1" x14ac:dyDescent="0.2">
      <c r="A7" s="12" t="s">
        <v>390</v>
      </c>
      <c r="B7" s="12" t="s">
        <v>23</v>
      </c>
      <c r="D7" s="4">
        <v>232</v>
      </c>
      <c r="E7" s="4">
        <f>D7*$E$6</f>
        <v>1624</v>
      </c>
      <c r="F7" s="4">
        <v>811</v>
      </c>
    </row>
    <row r="8" spans="1:14" ht="19" customHeight="1" x14ac:dyDescent="0.2">
      <c r="B8" s="1" t="s">
        <v>24</v>
      </c>
      <c r="D8" s="1">
        <v>30</v>
      </c>
      <c r="E8" s="1">
        <f>D8*$E$6</f>
        <v>210</v>
      </c>
    </row>
    <row r="9" spans="1:14" ht="17" x14ac:dyDescent="0.2">
      <c r="B9" s="1" t="s">
        <v>27</v>
      </c>
      <c r="D9" s="1">
        <v>50</v>
      </c>
      <c r="E9" s="1">
        <f t="shared" ref="E9:E12" si="0">D9*$E$6</f>
        <v>350</v>
      </c>
    </row>
    <row r="10" spans="1:14" ht="17" x14ac:dyDescent="0.2">
      <c r="B10" s="1" t="s">
        <v>30</v>
      </c>
      <c r="D10" s="1">
        <v>50</v>
      </c>
      <c r="E10" s="1">
        <f t="shared" si="0"/>
        <v>350</v>
      </c>
    </row>
    <row r="11" spans="1:14" ht="17" x14ac:dyDescent="0.2">
      <c r="B11" s="1" t="s">
        <v>33</v>
      </c>
      <c r="D11" s="1">
        <v>40</v>
      </c>
      <c r="E11" s="1">
        <f t="shared" si="0"/>
        <v>280</v>
      </c>
    </row>
    <row r="12" spans="1:14" ht="17" x14ac:dyDescent="0.2">
      <c r="B12" s="1" t="s">
        <v>36</v>
      </c>
      <c r="D12" s="1">
        <v>62</v>
      </c>
      <c r="E12" s="1">
        <f t="shared" si="0"/>
        <v>434</v>
      </c>
    </row>
    <row r="13" spans="1:14" x14ac:dyDescent="0.2">
      <c r="A13" s="9">
        <v>5</v>
      </c>
    </row>
    <row r="14" spans="1:14" s="4" customFormat="1" ht="18" customHeight="1" x14ac:dyDescent="0.2">
      <c r="A14" s="12" t="s">
        <v>39</v>
      </c>
      <c r="B14" s="12" t="s">
        <v>40</v>
      </c>
      <c r="D14" s="4">
        <v>50</v>
      </c>
      <c r="E14" s="4">
        <f>D14*$E$6</f>
        <v>350</v>
      </c>
      <c r="F14" s="4">
        <v>39</v>
      </c>
    </row>
    <row r="15" spans="1:14" ht="17" x14ac:dyDescent="0.2">
      <c r="B15" s="1" t="s">
        <v>41</v>
      </c>
      <c r="D15" s="1">
        <v>50</v>
      </c>
      <c r="E15" s="1">
        <f>D15*E6</f>
        <v>350</v>
      </c>
    </row>
    <row r="16" spans="1:14" x14ac:dyDescent="0.2">
      <c r="A16" s="9">
        <v>1</v>
      </c>
    </row>
    <row r="17" spans="1:6" s="4" customFormat="1" ht="17" x14ac:dyDescent="0.2">
      <c r="A17" s="12" t="s">
        <v>391</v>
      </c>
      <c r="D17" s="4">
        <v>300</v>
      </c>
      <c r="E17" s="4">
        <f>D17*$E$6</f>
        <v>2100</v>
      </c>
    </row>
    <row r="18" spans="1:6" x14ac:dyDescent="0.2">
      <c r="A18" s="3"/>
      <c r="C18" s="5"/>
    </row>
    <row r="19" spans="1:6" s="4" customFormat="1" ht="17" x14ac:dyDescent="0.2">
      <c r="A19" s="12"/>
      <c r="B19" s="12" t="s">
        <v>45</v>
      </c>
      <c r="D19" s="4">
        <v>100</v>
      </c>
      <c r="E19" s="4">
        <f>D19*7</f>
        <v>700</v>
      </c>
      <c r="F19" s="4">
        <v>23</v>
      </c>
    </row>
    <row r="20" spans="1:6" ht="17" x14ac:dyDescent="0.2">
      <c r="B20" s="16" t="s">
        <v>392</v>
      </c>
      <c r="C20" s="340">
        <v>8.1854823894030371E-2</v>
      </c>
      <c r="D20" s="6">
        <f>C20*$D$19</f>
        <v>8.1854823894030364</v>
      </c>
      <c r="E20" s="87">
        <f>D20*7</f>
        <v>57.298376725821257</v>
      </c>
    </row>
    <row r="21" spans="1:6" ht="17" x14ac:dyDescent="0.2">
      <c r="B21" s="16" t="s">
        <v>393</v>
      </c>
      <c r="C21" s="340">
        <v>4.183137662165242E-2</v>
      </c>
      <c r="D21" s="6">
        <f t="shared" ref="D21:D27" si="1">C21*$D$19</f>
        <v>4.1831376621652421</v>
      </c>
      <c r="E21" s="87">
        <f t="shared" ref="E21:E27" si="2">D21*7</f>
        <v>29.281963635156693</v>
      </c>
    </row>
    <row r="22" spans="1:6" ht="17" x14ac:dyDescent="0.2">
      <c r="B22" s="16" t="s">
        <v>51</v>
      </c>
      <c r="C22" s="340">
        <v>5.5140886754685689E-2</v>
      </c>
      <c r="D22" s="6">
        <f t="shared" si="1"/>
        <v>5.5140886754685692</v>
      </c>
      <c r="E22" s="87">
        <f t="shared" si="2"/>
        <v>38.598620728279982</v>
      </c>
    </row>
    <row r="23" spans="1:6" ht="17" x14ac:dyDescent="0.2">
      <c r="B23" s="16" t="s">
        <v>394</v>
      </c>
      <c r="C23" s="340">
        <v>7.8411761271535096E-2</v>
      </c>
      <c r="D23" s="6">
        <f t="shared" si="1"/>
        <v>7.8411761271535099</v>
      </c>
      <c r="E23" s="87">
        <f t="shared" si="2"/>
        <v>54.888232890074569</v>
      </c>
    </row>
    <row r="24" spans="1:6" ht="17" x14ac:dyDescent="0.2">
      <c r="B24" s="16" t="s">
        <v>395</v>
      </c>
      <c r="C24" s="340">
        <v>0.10804527200358816</v>
      </c>
      <c r="D24" s="6">
        <f t="shared" si="1"/>
        <v>10.804527200358816</v>
      </c>
      <c r="E24" s="87">
        <f t="shared" si="2"/>
        <v>75.631690402511708</v>
      </c>
    </row>
    <row r="25" spans="1:6" ht="17" x14ac:dyDescent="0.2">
      <c r="B25" s="10" t="s">
        <v>396</v>
      </c>
      <c r="C25" s="340">
        <v>0.24433687491347134</v>
      </c>
      <c r="D25" s="6">
        <f t="shared" si="1"/>
        <v>24.433687491347133</v>
      </c>
      <c r="E25" s="87">
        <f t="shared" si="2"/>
        <v>171.03581243942992</v>
      </c>
    </row>
    <row r="26" spans="1:6" ht="17" x14ac:dyDescent="0.2">
      <c r="B26" s="16" t="s">
        <v>63</v>
      </c>
      <c r="C26" s="340">
        <v>0.19518950227051848</v>
      </c>
      <c r="D26" s="6">
        <f t="shared" si="1"/>
        <v>19.51895022705185</v>
      </c>
      <c r="E26" s="87">
        <f t="shared" si="2"/>
        <v>136.63265158936295</v>
      </c>
    </row>
    <row r="27" spans="1:6" ht="17" x14ac:dyDescent="0.2">
      <c r="B27" s="16" t="s">
        <v>66</v>
      </c>
      <c r="C27" s="340">
        <v>0.19518950227051848</v>
      </c>
      <c r="D27" s="6">
        <f t="shared" si="1"/>
        <v>19.51895022705185</v>
      </c>
      <c r="E27" s="87">
        <f t="shared" si="2"/>
        <v>136.63265158936295</v>
      </c>
    </row>
    <row r="28" spans="1:6" x14ac:dyDescent="0.2">
      <c r="A28" s="9">
        <v>8</v>
      </c>
      <c r="B28" s="17"/>
      <c r="C28" s="340"/>
      <c r="E28" s="87"/>
    </row>
    <row r="29" spans="1:6" s="4" customFormat="1" ht="17" x14ac:dyDescent="0.2">
      <c r="A29" s="12"/>
      <c r="B29" s="12" t="s">
        <v>69</v>
      </c>
      <c r="C29" s="341"/>
      <c r="D29" s="4">
        <v>100</v>
      </c>
      <c r="E29" s="305">
        <f>D29*E6</f>
        <v>700</v>
      </c>
      <c r="F29" s="4">
        <v>30</v>
      </c>
    </row>
    <row r="30" spans="1:6" ht="17" x14ac:dyDescent="0.2">
      <c r="B30" s="23" t="s">
        <v>70</v>
      </c>
      <c r="C30" s="340">
        <v>0.21012979994107583</v>
      </c>
      <c r="D30" s="6">
        <v>21.012979994107585</v>
      </c>
      <c r="E30" s="87">
        <f t="shared" ref="E30:E35" si="3">D30*7</f>
        <v>147.0908599587531</v>
      </c>
    </row>
    <row r="31" spans="1:6" ht="17" x14ac:dyDescent="0.2">
      <c r="B31" s="10" t="s">
        <v>73</v>
      </c>
      <c r="C31" s="340">
        <v>0.19042830974833957</v>
      </c>
      <c r="D31" s="6">
        <v>19.042830974833961</v>
      </c>
      <c r="E31" s="87">
        <f t="shared" si="3"/>
        <v>133.29981682383772</v>
      </c>
    </row>
    <row r="32" spans="1:6" ht="17" x14ac:dyDescent="0.2">
      <c r="B32" s="23" t="s">
        <v>76</v>
      </c>
      <c r="C32" s="340">
        <v>0.19042830974833957</v>
      </c>
      <c r="D32" s="6">
        <v>19.042830974833961</v>
      </c>
      <c r="E32" s="87">
        <f t="shared" si="3"/>
        <v>133.29981682383772</v>
      </c>
    </row>
    <row r="33" spans="1:6" ht="17" x14ac:dyDescent="0.2">
      <c r="B33" s="23" t="s">
        <v>79</v>
      </c>
      <c r="C33" s="340">
        <v>0.19042830974833957</v>
      </c>
      <c r="D33" s="6">
        <v>19.042830974833961</v>
      </c>
      <c r="E33" s="87">
        <f t="shared" si="3"/>
        <v>133.29981682383772</v>
      </c>
    </row>
    <row r="34" spans="1:6" ht="17" x14ac:dyDescent="0.2">
      <c r="B34" s="16" t="s">
        <v>82</v>
      </c>
      <c r="C34" s="340">
        <v>0.10929263540695267</v>
      </c>
      <c r="D34" s="6">
        <v>10.929263540695269</v>
      </c>
      <c r="E34" s="87">
        <f t="shared" si="3"/>
        <v>76.504844784866876</v>
      </c>
    </row>
    <row r="35" spans="1:6" ht="17" x14ac:dyDescent="0.2">
      <c r="B35" s="16" t="s">
        <v>397</v>
      </c>
      <c r="C35" s="340">
        <v>0.10929263540695267</v>
      </c>
      <c r="D35" s="6">
        <v>10.929263540695269</v>
      </c>
      <c r="E35" s="87">
        <f t="shared" si="3"/>
        <v>76.504844784866876</v>
      </c>
    </row>
    <row r="36" spans="1:6" x14ac:dyDescent="0.2">
      <c r="A36" s="9">
        <v>6</v>
      </c>
      <c r="C36" s="340"/>
      <c r="D36" s="6"/>
      <c r="E36" s="87"/>
    </row>
    <row r="37" spans="1:6" s="4" customFormat="1" ht="17" x14ac:dyDescent="0.2">
      <c r="A37" s="12"/>
      <c r="B37" s="25" t="s">
        <v>88</v>
      </c>
      <c r="C37" s="343"/>
      <c r="D37" s="305">
        <v>100</v>
      </c>
      <c r="E37" s="305">
        <f>D37*E6</f>
        <v>700</v>
      </c>
      <c r="F37" s="4">
        <v>25</v>
      </c>
    </row>
    <row r="38" spans="1:6" ht="17" x14ac:dyDescent="0.2">
      <c r="B38" s="16" t="s">
        <v>89</v>
      </c>
      <c r="C38" s="340">
        <v>0.24393305975418372</v>
      </c>
      <c r="D38" s="1">
        <v>24.393305975418372</v>
      </c>
      <c r="E38" s="87">
        <f>D38*7</f>
        <v>170.7531418279286</v>
      </c>
    </row>
    <row r="39" spans="1:6" ht="17" x14ac:dyDescent="0.2">
      <c r="B39" s="16" t="s">
        <v>91</v>
      </c>
      <c r="C39" s="340">
        <v>0.10630306243579046</v>
      </c>
      <c r="D39" s="1">
        <v>10.630306243579046</v>
      </c>
      <c r="E39" s="87">
        <f>D39*7</f>
        <v>74.412143705053325</v>
      </c>
    </row>
    <row r="40" spans="1:6" ht="17" x14ac:dyDescent="0.2">
      <c r="B40" s="10" t="s">
        <v>94</v>
      </c>
      <c r="C40" s="87">
        <v>0.46774770023805184</v>
      </c>
      <c r="D40" s="6">
        <v>46.774770023805182</v>
      </c>
      <c r="E40" s="87">
        <f>D40*7</f>
        <v>327.4233901666363</v>
      </c>
    </row>
    <row r="41" spans="1:6" ht="17" x14ac:dyDescent="0.2">
      <c r="B41" s="10" t="s">
        <v>398</v>
      </c>
      <c r="C41" s="87">
        <v>0.10260798307610458</v>
      </c>
      <c r="D41" s="6">
        <v>10.260798307610457</v>
      </c>
      <c r="E41" s="87">
        <f>D41*7</f>
        <v>71.825588153273202</v>
      </c>
    </row>
    <row r="42" spans="1:6" ht="17" x14ac:dyDescent="0.2">
      <c r="A42" s="9">
        <v>5</v>
      </c>
      <c r="B42" s="16" t="s">
        <v>100</v>
      </c>
      <c r="C42" s="87">
        <v>7.9408194495869444E-2</v>
      </c>
      <c r="D42" s="1">
        <v>7.9408194495869449</v>
      </c>
      <c r="E42" s="87">
        <f>D42*7</f>
        <v>55.585736147108612</v>
      </c>
    </row>
    <row r="43" spans="1:6" x14ac:dyDescent="0.2">
      <c r="C43" s="87"/>
      <c r="E43" s="87"/>
    </row>
    <row r="44" spans="1:6" s="4" customFormat="1" ht="17" x14ac:dyDescent="0.2">
      <c r="A44" s="12" t="s">
        <v>399</v>
      </c>
      <c r="C44" s="88"/>
      <c r="D44" s="4">
        <v>200</v>
      </c>
      <c r="E44" s="88">
        <f>D44*$E$6</f>
        <v>1400</v>
      </c>
      <c r="F44" s="4">
        <v>126</v>
      </c>
    </row>
    <row r="45" spans="1:6" ht="17" x14ac:dyDescent="0.2">
      <c r="B45" s="11" t="s">
        <v>103</v>
      </c>
      <c r="C45" s="342">
        <v>0.44966025536520099</v>
      </c>
      <c r="D45" s="87">
        <f>C45*$D$44</f>
        <v>89.932051073040199</v>
      </c>
      <c r="E45" s="87">
        <f t="shared" ref="E45:E54" si="4">D45*$E$6</f>
        <v>629.52435751128144</v>
      </c>
    </row>
    <row r="46" spans="1:6" ht="17" x14ac:dyDescent="0.2">
      <c r="B46" s="11" t="s">
        <v>106</v>
      </c>
      <c r="C46" s="342">
        <v>4.5787970295011769E-2</v>
      </c>
      <c r="D46" s="87">
        <f t="shared" ref="D46:D54" si="5">C46*$D$44</f>
        <v>9.1575940590023546</v>
      </c>
      <c r="E46" s="87">
        <f t="shared" si="4"/>
        <v>64.103158413016487</v>
      </c>
    </row>
    <row r="47" spans="1:6" ht="17" x14ac:dyDescent="0.2">
      <c r="B47" s="11" t="s">
        <v>109</v>
      </c>
      <c r="C47" s="342">
        <v>2.019481503339627E-2</v>
      </c>
      <c r="D47" s="87">
        <f t="shared" si="5"/>
        <v>4.0389630066792543</v>
      </c>
      <c r="E47" s="87">
        <f t="shared" si="4"/>
        <v>28.272741046754781</v>
      </c>
    </row>
    <row r="48" spans="1:6" ht="17" x14ac:dyDescent="0.2">
      <c r="B48" s="11" t="s">
        <v>111</v>
      </c>
      <c r="C48" s="342">
        <v>2.0560497203855613E-2</v>
      </c>
      <c r="D48" s="87">
        <f t="shared" si="5"/>
        <v>4.1120994407711224</v>
      </c>
      <c r="E48" s="87">
        <f t="shared" si="4"/>
        <v>28.784696085397858</v>
      </c>
    </row>
    <row r="49" spans="1:6" ht="17" x14ac:dyDescent="0.2">
      <c r="B49" s="11" t="s">
        <v>114</v>
      </c>
      <c r="C49" s="342">
        <v>1.772181875645604E-2</v>
      </c>
      <c r="D49" s="87">
        <f t="shared" si="5"/>
        <v>3.5443637512912081</v>
      </c>
      <c r="E49" s="87">
        <f t="shared" si="4"/>
        <v>24.810546259038457</v>
      </c>
    </row>
    <row r="50" spans="1:6" ht="17" x14ac:dyDescent="0.2">
      <c r="B50" s="11" t="s">
        <v>117</v>
      </c>
      <c r="C50" s="342">
        <v>7.018785236884495E-2</v>
      </c>
      <c r="D50" s="87">
        <f t="shared" si="5"/>
        <v>14.037570473768991</v>
      </c>
      <c r="E50" s="87">
        <f t="shared" si="4"/>
        <v>98.262993316382932</v>
      </c>
    </row>
    <row r="51" spans="1:6" ht="17" x14ac:dyDescent="0.2">
      <c r="B51" s="11" t="s">
        <v>119</v>
      </c>
      <c r="C51" s="342">
        <v>9.5944736748873077E-2</v>
      </c>
      <c r="D51" s="87">
        <f t="shared" si="5"/>
        <v>19.188947349774615</v>
      </c>
      <c r="E51" s="87">
        <f t="shared" si="4"/>
        <v>134.3226314484223</v>
      </c>
    </row>
    <row r="52" spans="1:6" ht="17" x14ac:dyDescent="0.2">
      <c r="B52" s="11" t="s">
        <v>121</v>
      </c>
      <c r="C52" s="342">
        <v>0.21388130862220195</v>
      </c>
      <c r="D52" s="87">
        <f t="shared" si="5"/>
        <v>42.776261724440388</v>
      </c>
      <c r="E52" s="87">
        <f t="shared" si="4"/>
        <v>299.43383207108275</v>
      </c>
    </row>
    <row r="53" spans="1:6" ht="17" x14ac:dyDescent="0.2">
      <c r="B53" s="1" t="s">
        <v>124</v>
      </c>
      <c r="C53" s="87">
        <v>1.1705878785865603E-2</v>
      </c>
      <c r="D53" s="87">
        <f t="shared" si="5"/>
        <v>2.3411757571731204</v>
      </c>
      <c r="E53" s="87">
        <f t="shared" si="4"/>
        <v>16.388230300211845</v>
      </c>
    </row>
    <row r="54" spans="1:6" ht="17" x14ac:dyDescent="0.2">
      <c r="B54" s="11" t="s">
        <v>126</v>
      </c>
      <c r="C54" s="87">
        <v>5.4354866820293855E-2</v>
      </c>
      <c r="D54" s="87">
        <f t="shared" si="5"/>
        <v>10.870973364058772</v>
      </c>
      <c r="E54" s="87">
        <f t="shared" si="4"/>
        <v>76.096813548411404</v>
      </c>
    </row>
    <row r="55" spans="1:6" x14ac:dyDescent="0.2">
      <c r="A55" s="9">
        <v>10</v>
      </c>
      <c r="B55" s="11"/>
    </row>
    <row r="56" spans="1:6" s="4" customFormat="1" ht="17" x14ac:dyDescent="0.2">
      <c r="A56" s="12" t="s">
        <v>400</v>
      </c>
      <c r="D56" s="4">
        <v>250</v>
      </c>
      <c r="E56" s="4">
        <f>D56*$E$6</f>
        <v>1750</v>
      </c>
      <c r="F56" s="4">
        <v>153</v>
      </c>
    </row>
    <row r="57" spans="1:6" ht="17" x14ac:dyDescent="0.2">
      <c r="B57" s="1" t="s">
        <v>129</v>
      </c>
      <c r="D57" s="1">
        <v>100</v>
      </c>
      <c r="E57" s="1">
        <f t="shared" ref="E57:E65" si="6">D57*$E$6</f>
        <v>700</v>
      </c>
    </row>
    <row r="58" spans="1:6" ht="17" x14ac:dyDescent="0.2">
      <c r="B58" s="1" t="s">
        <v>132</v>
      </c>
      <c r="D58" s="1">
        <v>80</v>
      </c>
      <c r="E58" s="1">
        <f t="shared" si="6"/>
        <v>560</v>
      </c>
    </row>
    <row r="59" spans="1:6" ht="17" x14ac:dyDescent="0.2">
      <c r="B59" s="1" t="s">
        <v>135</v>
      </c>
      <c r="D59" s="1">
        <v>10</v>
      </c>
      <c r="E59" s="1">
        <f t="shared" si="6"/>
        <v>70</v>
      </c>
    </row>
    <row r="60" spans="1:6" ht="17" x14ac:dyDescent="0.2">
      <c r="B60" s="1" t="s">
        <v>138</v>
      </c>
      <c r="D60" s="1">
        <v>10</v>
      </c>
      <c r="E60" s="1">
        <f t="shared" si="6"/>
        <v>70</v>
      </c>
    </row>
    <row r="61" spans="1:6" ht="17" x14ac:dyDescent="0.2">
      <c r="B61" s="1" t="s">
        <v>141</v>
      </c>
      <c r="D61" s="1">
        <v>10</v>
      </c>
      <c r="E61" s="1">
        <f t="shared" si="6"/>
        <v>70</v>
      </c>
    </row>
    <row r="62" spans="1:6" ht="17" x14ac:dyDescent="0.2">
      <c r="B62" s="1" t="s">
        <v>144</v>
      </c>
      <c r="D62" s="1">
        <v>10</v>
      </c>
      <c r="E62" s="1">
        <f t="shared" si="6"/>
        <v>70</v>
      </c>
    </row>
    <row r="63" spans="1:6" ht="34" x14ac:dyDescent="0.2">
      <c r="B63" s="1" t="s">
        <v>401</v>
      </c>
      <c r="D63" s="1">
        <v>10</v>
      </c>
      <c r="E63" s="1">
        <f t="shared" si="6"/>
        <v>70</v>
      </c>
    </row>
    <row r="64" spans="1:6" ht="34" x14ac:dyDescent="0.2">
      <c r="B64" s="1" t="s">
        <v>402</v>
      </c>
      <c r="D64" s="1">
        <v>10</v>
      </c>
      <c r="E64" s="1">
        <f t="shared" si="6"/>
        <v>70</v>
      </c>
    </row>
    <row r="65" spans="1:14" ht="17" x14ac:dyDescent="0.2">
      <c r="A65" s="9">
        <v>9</v>
      </c>
      <c r="B65" s="1" t="s">
        <v>403</v>
      </c>
      <c r="D65" s="1">
        <v>10</v>
      </c>
      <c r="E65" s="1">
        <f t="shared" si="6"/>
        <v>70</v>
      </c>
    </row>
    <row r="66" spans="1:14" ht="17" thickBot="1" x14ac:dyDescent="0.25">
      <c r="I66" s="93"/>
      <c r="J66" s="93"/>
      <c r="K66" s="93"/>
      <c r="L66" s="93"/>
      <c r="M66" s="93"/>
    </row>
    <row r="67" spans="1:14" s="4" customFormat="1" ht="20" customHeight="1" x14ac:dyDescent="0.2">
      <c r="A67" s="12" t="s">
        <v>156</v>
      </c>
      <c r="B67" s="12" t="s">
        <v>157</v>
      </c>
      <c r="D67" s="4">
        <v>7</v>
      </c>
      <c r="E67" s="4">
        <f>D67*E6</f>
        <v>49</v>
      </c>
      <c r="F67" s="4">
        <v>15</v>
      </c>
      <c r="H67" s="91"/>
      <c r="I67" s="405" t="s">
        <v>404</v>
      </c>
      <c r="J67" s="406"/>
      <c r="K67" s="406"/>
      <c r="L67" s="406"/>
      <c r="M67" s="407"/>
      <c r="N67" s="92"/>
    </row>
    <row r="68" spans="1:14" ht="20" customHeight="1" x14ac:dyDescent="0.2">
      <c r="B68" s="1" t="s">
        <v>158</v>
      </c>
      <c r="D68" s="1">
        <v>7</v>
      </c>
      <c r="E68" s="1">
        <v>49</v>
      </c>
      <c r="H68" s="86"/>
      <c r="I68" s="98"/>
      <c r="J68" s="96"/>
      <c r="K68" s="96"/>
      <c r="L68" s="96"/>
      <c r="M68" s="97"/>
      <c r="N68" s="65"/>
    </row>
    <row r="69" spans="1:14" x14ac:dyDescent="0.2">
      <c r="A69" s="9">
        <v>1</v>
      </c>
      <c r="H69" s="86"/>
      <c r="I69" s="410" t="s">
        <v>405</v>
      </c>
      <c r="J69" s="409"/>
      <c r="K69" s="409"/>
      <c r="L69" s="95">
        <f>497</f>
        <v>497</v>
      </c>
      <c r="M69" s="97"/>
      <c r="N69" s="65"/>
    </row>
    <row r="70" spans="1:14" s="4" customFormat="1" ht="17" customHeight="1" x14ac:dyDescent="0.2">
      <c r="A70" s="12"/>
      <c r="B70" s="12" t="s">
        <v>161</v>
      </c>
      <c r="D70" s="4">
        <v>7</v>
      </c>
      <c r="E70" s="4">
        <f>D70*E6</f>
        <v>49</v>
      </c>
      <c r="F70" s="4">
        <v>15</v>
      </c>
      <c r="H70" s="91"/>
      <c r="I70" s="288"/>
      <c r="J70" s="96"/>
      <c r="K70" s="96"/>
      <c r="L70" s="96"/>
      <c r="M70" s="97"/>
      <c r="N70" s="92"/>
    </row>
    <row r="71" spans="1:14" ht="19" customHeight="1" x14ac:dyDescent="0.2">
      <c r="B71" s="1" t="s">
        <v>162</v>
      </c>
      <c r="D71" s="1">
        <v>7</v>
      </c>
      <c r="E71" s="1">
        <v>49</v>
      </c>
      <c r="H71" s="86"/>
      <c r="I71" s="288"/>
      <c r="J71" s="411" t="s">
        <v>406</v>
      </c>
      <c r="K71" s="411"/>
      <c r="L71" s="411"/>
      <c r="M71" s="97"/>
      <c r="N71" s="65"/>
    </row>
    <row r="72" spans="1:14" ht="18" customHeight="1" x14ac:dyDescent="0.2">
      <c r="A72" s="9">
        <v>1</v>
      </c>
      <c r="H72" s="86"/>
      <c r="I72" s="288"/>
      <c r="J72" s="408" t="s">
        <v>407</v>
      </c>
      <c r="K72" s="409"/>
      <c r="L72" s="106" t="s">
        <v>408</v>
      </c>
      <c r="M72" s="97"/>
      <c r="N72" s="65"/>
    </row>
    <row r="73" spans="1:14" s="4" customFormat="1" ht="17" x14ac:dyDescent="0.2">
      <c r="A73" s="12"/>
      <c r="B73" s="12" t="s">
        <v>165</v>
      </c>
      <c r="D73" s="4">
        <v>29</v>
      </c>
      <c r="E73" s="4">
        <f>D73*E6</f>
        <v>203</v>
      </c>
      <c r="F73" s="4">
        <v>62</v>
      </c>
      <c r="H73" s="91"/>
      <c r="I73" s="288"/>
      <c r="J73" s="95" t="s">
        <v>157</v>
      </c>
      <c r="K73" s="107">
        <f>49</f>
        <v>49</v>
      </c>
      <c r="L73" s="96">
        <f>K73/K77*100</f>
        <v>9.8591549295774641</v>
      </c>
      <c r="M73" s="97"/>
      <c r="N73" s="92"/>
    </row>
    <row r="74" spans="1:14" ht="17" x14ac:dyDescent="0.2">
      <c r="B74" s="1" t="s">
        <v>166</v>
      </c>
      <c r="D74" s="1">
        <v>29</v>
      </c>
      <c r="E74" s="1">
        <v>203</v>
      </c>
      <c r="H74" s="86"/>
      <c r="I74" s="288"/>
      <c r="J74" s="95" t="s">
        <v>161</v>
      </c>
      <c r="K74" s="108">
        <f>49</f>
        <v>49</v>
      </c>
      <c r="L74" s="96">
        <f>K74/K77*100</f>
        <v>9.8591549295774641</v>
      </c>
      <c r="M74" s="97"/>
      <c r="N74" s="65"/>
    </row>
    <row r="75" spans="1:14" ht="17" x14ac:dyDescent="0.2">
      <c r="A75" s="9">
        <v>1</v>
      </c>
      <c r="H75" s="86"/>
      <c r="I75" s="98"/>
      <c r="J75" s="95" t="s">
        <v>165</v>
      </c>
      <c r="K75" s="108">
        <v>203</v>
      </c>
      <c r="L75" s="96">
        <f>K75/K77*100</f>
        <v>40.845070422535215</v>
      </c>
      <c r="M75" s="97"/>
      <c r="N75" s="65"/>
    </row>
    <row r="76" spans="1:14" s="4" customFormat="1" ht="17" x14ac:dyDescent="0.2">
      <c r="A76" s="12"/>
      <c r="B76" s="12" t="s">
        <v>169</v>
      </c>
      <c r="D76" s="4">
        <v>13</v>
      </c>
      <c r="E76" s="4">
        <f>D76*E6</f>
        <v>91</v>
      </c>
      <c r="F76" s="4">
        <v>19</v>
      </c>
      <c r="H76" s="91"/>
      <c r="I76" s="98"/>
      <c r="J76" s="95" t="s">
        <v>409</v>
      </c>
      <c r="K76" s="108">
        <f>196</f>
        <v>196</v>
      </c>
      <c r="L76" s="96">
        <f>K76/K77*100</f>
        <v>39.436619718309856</v>
      </c>
      <c r="M76" s="97"/>
      <c r="N76" s="92"/>
    </row>
    <row r="77" spans="1:14" ht="17" x14ac:dyDescent="0.2">
      <c r="A77" s="9">
        <v>1</v>
      </c>
      <c r="B77" s="1" t="s">
        <v>170</v>
      </c>
      <c r="D77" s="1">
        <v>13</v>
      </c>
      <c r="E77" s="1">
        <v>91</v>
      </c>
      <c r="H77" s="86"/>
      <c r="I77" s="98"/>
      <c r="J77" s="290" t="s">
        <v>410</v>
      </c>
      <c r="K77" s="107">
        <f>SUM(K73:K76)</f>
        <v>497</v>
      </c>
      <c r="L77" s="289">
        <f>SUM(L73:L76)</f>
        <v>100</v>
      </c>
      <c r="M77" s="97"/>
      <c r="N77" s="65"/>
    </row>
    <row r="78" spans="1:14" ht="17" thickBot="1" x14ac:dyDescent="0.25">
      <c r="H78" s="86"/>
      <c r="I78" s="105"/>
      <c r="J78" s="99"/>
      <c r="K78" s="99"/>
      <c r="L78" s="99"/>
      <c r="M78" s="100"/>
      <c r="N78" s="65"/>
    </row>
    <row r="79" spans="1:14" s="4" customFormat="1" ht="17" x14ac:dyDescent="0.2">
      <c r="A79" s="12"/>
      <c r="B79" s="12" t="s">
        <v>409</v>
      </c>
      <c r="D79" s="4">
        <v>28</v>
      </c>
      <c r="E79" s="4">
        <f>D79*E6</f>
        <v>196</v>
      </c>
      <c r="F79" s="4">
        <v>40</v>
      </c>
      <c r="I79" s="193"/>
      <c r="J79" s="193"/>
      <c r="K79" s="193"/>
      <c r="L79" s="193"/>
      <c r="M79" s="193"/>
    </row>
    <row r="80" spans="1:14" ht="17" x14ac:dyDescent="0.2">
      <c r="B80" s="1" t="s">
        <v>174</v>
      </c>
      <c r="D80" s="1">
        <f>D79/3</f>
        <v>9.3333333333333339</v>
      </c>
      <c r="E80" s="1">
        <f>D80*7</f>
        <v>65.333333333333343</v>
      </c>
    </row>
    <row r="81" spans="1:6" ht="17" x14ac:dyDescent="0.2">
      <c r="B81" s="1" t="s">
        <v>177</v>
      </c>
      <c r="D81" s="1">
        <f>D79/3</f>
        <v>9.3333333333333339</v>
      </c>
      <c r="E81" s="1">
        <f>D81*7</f>
        <v>65.333333333333343</v>
      </c>
    </row>
    <row r="82" spans="1:6" ht="17" x14ac:dyDescent="0.2">
      <c r="B82" s="1" t="s">
        <v>179</v>
      </c>
      <c r="D82" s="1">
        <f>D79/3</f>
        <v>9.3333333333333339</v>
      </c>
      <c r="E82" s="1">
        <f>D82*7</f>
        <v>65.333333333333343</v>
      </c>
    </row>
    <row r="83" spans="1:6" x14ac:dyDescent="0.2">
      <c r="A83" s="9">
        <v>3</v>
      </c>
    </row>
    <row r="84" spans="1:6" s="4" customFormat="1" ht="17" x14ac:dyDescent="0.2">
      <c r="A84" s="12"/>
      <c r="B84" s="12" t="s">
        <v>411</v>
      </c>
      <c r="D84" s="4">
        <v>50</v>
      </c>
      <c r="E84" s="4">
        <f>D84*$E$6</f>
        <v>350</v>
      </c>
      <c r="F84" s="4">
        <v>172</v>
      </c>
    </row>
    <row r="85" spans="1:6" ht="17" x14ac:dyDescent="0.2">
      <c r="B85" s="1" t="s">
        <v>183</v>
      </c>
      <c r="D85" s="1">
        <f t="shared" ref="D85:D90" si="7">$D$84/6</f>
        <v>8.3333333333333339</v>
      </c>
      <c r="E85" s="1">
        <f t="shared" ref="E85:E90" si="8">D85*$E$6</f>
        <v>58.333333333333336</v>
      </c>
    </row>
    <row r="86" spans="1:6" ht="17" x14ac:dyDescent="0.2">
      <c r="B86" s="1" t="s">
        <v>186</v>
      </c>
      <c r="D86" s="1">
        <f t="shared" si="7"/>
        <v>8.3333333333333339</v>
      </c>
      <c r="E86" s="1">
        <f t="shared" si="8"/>
        <v>58.333333333333336</v>
      </c>
    </row>
    <row r="87" spans="1:6" ht="17" x14ac:dyDescent="0.2">
      <c r="B87" s="1" t="s">
        <v>189</v>
      </c>
      <c r="D87" s="1">
        <f t="shared" si="7"/>
        <v>8.3333333333333339</v>
      </c>
      <c r="E87" s="1">
        <f t="shared" si="8"/>
        <v>58.333333333333336</v>
      </c>
    </row>
    <row r="88" spans="1:6" ht="17" x14ac:dyDescent="0.2">
      <c r="B88" s="1" t="s">
        <v>192</v>
      </c>
      <c r="D88" s="1">
        <f t="shared" si="7"/>
        <v>8.3333333333333339</v>
      </c>
      <c r="E88" s="1">
        <f t="shared" si="8"/>
        <v>58.333333333333336</v>
      </c>
    </row>
    <row r="89" spans="1:6" ht="17" x14ac:dyDescent="0.2">
      <c r="B89" s="1" t="s">
        <v>622</v>
      </c>
      <c r="D89" s="1">
        <f t="shared" si="7"/>
        <v>8.3333333333333339</v>
      </c>
      <c r="E89" s="1">
        <f t="shared" si="8"/>
        <v>58.333333333333336</v>
      </c>
    </row>
    <row r="90" spans="1:6" ht="17" x14ac:dyDescent="0.2">
      <c r="A90" s="9">
        <v>6</v>
      </c>
      <c r="B90" s="1" t="s">
        <v>623</v>
      </c>
      <c r="D90" s="1">
        <f t="shared" si="7"/>
        <v>8.3333333333333339</v>
      </c>
      <c r="E90" s="1">
        <f t="shared" si="8"/>
        <v>58.333333333333336</v>
      </c>
    </row>
    <row r="92" spans="1:6" s="4" customFormat="1" ht="17" x14ac:dyDescent="0.2">
      <c r="A92" s="12"/>
      <c r="B92" s="12" t="s">
        <v>200</v>
      </c>
      <c r="D92" s="4">
        <v>25</v>
      </c>
      <c r="E92" s="4">
        <f>D92*E6</f>
        <v>175</v>
      </c>
      <c r="F92" s="4">
        <v>112</v>
      </c>
    </row>
    <row r="93" spans="1:6" ht="17" x14ac:dyDescent="0.2">
      <c r="B93" s="1" t="s">
        <v>201</v>
      </c>
      <c r="D93" s="1">
        <f>D92/2</f>
        <v>12.5</v>
      </c>
      <c r="E93" s="1">
        <f>D93*7</f>
        <v>87.5</v>
      </c>
    </row>
    <row r="94" spans="1:6" ht="17" x14ac:dyDescent="0.2">
      <c r="B94" s="1" t="s">
        <v>203</v>
      </c>
      <c r="D94" s="1">
        <f>D92/2</f>
        <v>12.5</v>
      </c>
      <c r="E94" s="1">
        <f>D94*7</f>
        <v>87.5</v>
      </c>
    </row>
    <row r="95" spans="1:6" x14ac:dyDescent="0.2">
      <c r="A95" s="9">
        <v>2</v>
      </c>
    </row>
    <row r="96" spans="1:6" s="4" customFormat="1" ht="17" x14ac:dyDescent="0.2">
      <c r="A96" s="12"/>
      <c r="B96" s="12" t="s">
        <v>205</v>
      </c>
    </row>
    <row r="97" spans="1:6" s="4" customFormat="1" ht="17" x14ac:dyDescent="0.2">
      <c r="A97" s="12"/>
      <c r="B97" s="12" t="s">
        <v>206</v>
      </c>
      <c r="F97" s="4">
        <v>142</v>
      </c>
    </row>
    <row r="98" spans="1:6" ht="17" x14ac:dyDescent="0.2">
      <c r="A98" s="9">
        <v>1</v>
      </c>
      <c r="B98" s="1" t="s">
        <v>207</v>
      </c>
      <c r="D98" s="1">
        <v>25</v>
      </c>
      <c r="E98" s="1">
        <f>D98*E6</f>
        <v>175</v>
      </c>
    </row>
    <row r="100" spans="1:6" s="4" customFormat="1" ht="17" x14ac:dyDescent="0.2">
      <c r="A100" s="12"/>
      <c r="B100" s="12" t="s">
        <v>412</v>
      </c>
      <c r="D100" s="4">
        <v>25</v>
      </c>
      <c r="E100" s="8">
        <f>D100*7</f>
        <v>175</v>
      </c>
      <c r="F100" s="8">
        <v>149</v>
      </c>
    </row>
    <row r="101" spans="1:6" ht="17" x14ac:dyDescent="0.2">
      <c r="B101" s="1" t="s">
        <v>210</v>
      </c>
      <c r="D101" s="7">
        <f>D100/2</f>
        <v>12.5</v>
      </c>
      <c r="E101" s="1">
        <f>D101*7</f>
        <v>87.5</v>
      </c>
    </row>
    <row r="102" spans="1:6" ht="17" x14ac:dyDescent="0.2">
      <c r="B102" s="1" t="s">
        <v>213</v>
      </c>
      <c r="D102" s="7">
        <f>D100/2</f>
        <v>12.5</v>
      </c>
      <c r="E102" s="1">
        <f>D102*7</f>
        <v>87.5</v>
      </c>
      <c r="F102" s="7"/>
    </row>
    <row r="103" spans="1:6" x14ac:dyDescent="0.2">
      <c r="A103" s="9">
        <v>2</v>
      </c>
      <c r="D103" s="7"/>
      <c r="E103" s="7"/>
      <c r="F103" s="7"/>
    </row>
    <row r="104" spans="1:6" s="4" customFormat="1" ht="17" customHeight="1" x14ac:dyDescent="0.2">
      <c r="A104" s="12" t="s">
        <v>413</v>
      </c>
      <c r="D104" s="8"/>
      <c r="E104" s="8"/>
      <c r="F104" s="8">
        <v>60</v>
      </c>
    </row>
    <row r="105" spans="1:6" ht="17" x14ac:dyDescent="0.2">
      <c r="B105" s="1" t="s">
        <v>216</v>
      </c>
      <c r="D105" s="7">
        <v>6.8</v>
      </c>
      <c r="E105" s="7">
        <f>D105*7</f>
        <v>47.6</v>
      </c>
    </row>
    <row r="106" spans="1:6" x14ac:dyDescent="0.2">
      <c r="A106" s="9">
        <v>1</v>
      </c>
    </row>
    <row r="107" spans="1:6" s="4" customFormat="1" ht="17" x14ac:dyDescent="0.2">
      <c r="A107" s="12"/>
      <c r="B107" s="12" t="s">
        <v>219</v>
      </c>
      <c r="D107" s="8">
        <v>40</v>
      </c>
      <c r="E107" s="8">
        <f>D107*7</f>
        <v>280</v>
      </c>
      <c r="F107" s="8">
        <v>354</v>
      </c>
    </row>
    <row r="108" spans="1:6" ht="17" x14ac:dyDescent="0.2">
      <c r="B108" s="1" t="s">
        <v>220</v>
      </c>
      <c r="D108" s="1">
        <f>$D$107/3</f>
        <v>13.333333333333334</v>
      </c>
      <c r="E108" s="1">
        <f>D108*7</f>
        <v>93.333333333333343</v>
      </c>
    </row>
    <row r="109" spans="1:6" ht="17" x14ac:dyDescent="0.2">
      <c r="B109" s="1" t="s">
        <v>223</v>
      </c>
      <c r="D109" s="1">
        <f>$D$107/3</f>
        <v>13.333333333333334</v>
      </c>
      <c r="E109" s="1">
        <f>D109*7</f>
        <v>93.333333333333343</v>
      </c>
      <c r="F109" s="7"/>
    </row>
    <row r="110" spans="1:6" ht="17" x14ac:dyDescent="0.2">
      <c r="A110" s="1"/>
      <c r="B110" s="1" t="s">
        <v>226</v>
      </c>
      <c r="D110" s="1">
        <f>$D$107/3</f>
        <v>13.333333333333334</v>
      </c>
      <c r="E110" s="1">
        <f>D110*7</f>
        <v>93.333333333333343</v>
      </c>
      <c r="F110" s="7"/>
    </row>
    <row r="111" spans="1:6" x14ac:dyDescent="0.2">
      <c r="A111" s="9">
        <v>3</v>
      </c>
    </row>
    <row r="112" spans="1:6" s="4" customFormat="1" ht="17" x14ac:dyDescent="0.2">
      <c r="A112" s="12"/>
      <c r="B112" s="12" t="s">
        <v>229</v>
      </c>
      <c r="D112" s="8"/>
      <c r="E112" s="8"/>
      <c r="F112" s="8">
        <v>36</v>
      </c>
    </row>
    <row r="113" spans="1:6" ht="17" x14ac:dyDescent="0.2">
      <c r="B113" s="1" t="s">
        <v>230</v>
      </c>
      <c r="D113" s="7">
        <v>5</v>
      </c>
      <c r="E113" s="7">
        <f>D113*7</f>
        <v>35</v>
      </c>
    </row>
    <row r="114" spans="1:6" x14ac:dyDescent="0.2">
      <c r="A114" s="9">
        <v>1</v>
      </c>
      <c r="D114" s="7"/>
      <c r="E114" s="7"/>
      <c r="F114" s="7"/>
    </row>
    <row r="115" spans="1:6" s="4" customFormat="1" ht="17" x14ac:dyDescent="0.2">
      <c r="A115" s="12" t="s">
        <v>414</v>
      </c>
      <c r="D115" s="4">
        <f>31</f>
        <v>31</v>
      </c>
      <c r="E115" s="4">
        <f>D115*E6</f>
        <v>217</v>
      </c>
      <c r="F115" s="4">
        <v>120</v>
      </c>
    </row>
    <row r="116" spans="1:6" ht="17" x14ac:dyDescent="0.2">
      <c r="A116" s="20"/>
      <c r="B116" s="1" t="s">
        <v>234</v>
      </c>
      <c r="D116" s="1">
        <f>31/3</f>
        <v>10.333333333333334</v>
      </c>
      <c r="E116" s="1">
        <f>D116*7</f>
        <v>72.333333333333343</v>
      </c>
    </row>
    <row r="117" spans="1:6" ht="17" x14ac:dyDescent="0.2">
      <c r="B117" s="1" t="s">
        <v>237</v>
      </c>
      <c r="D117" s="1">
        <f>31/3</f>
        <v>10.333333333333334</v>
      </c>
      <c r="E117" s="1">
        <f>D117*7</f>
        <v>72.333333333333343</v>
      </c>
    </row>
    <row r="118" spans="1:6" ht="17" x14ac:dyDescent="0.2">
      <c r="B118" s="1" t="s">
        <v>240</v>
      </c>
      <c r="D118" s="1">
        <f>31/3</f>
        <v>10.333333333333334</v>
      </c>
      <c r="E118" s="1">
        <f>D118*7</f>
        <v>72.333333333333343</v>
      </c>
    </row>
    <row r="119" spans="1:6" x14ac:dyDescent="0.2">
      <c r="A119" s="9">
        <v>3</v>
      </c>
      <c r="B119" s="15"/>
    </row>
    <row r="120" spans="1:6" s="4" customFormat="1" ht="17" x14ac:dyDescent="0.2">
      <c r="A120" s="12" t="s">
        <v>613</v>
      </c>
      <c r="D120" s="4">
        <v>1500</v>
      </c>
      <c r="E120" s="4">
        <f>D120*E6</f>
        <v>10500</v>
      </c>
    </row>
    <row r="121" spans="1:6" ht="17" x14ac:dyDescent="0.2">
      <c r="B121" s="1" t="s">
        <v>415</v>
      </c>
      <c r="D121" s="1">
        <v>1100</v>
      </c>
      <c r="E121" s="1">
        <f>D121*7</f>
        <v>7700</v>
      </c>
    </row>
    <row r="122" spans="1:6" ht="17" x14ac:dyDescent="0.2">
      <c r="B122" s="1" t="s">
        <v>416</v>
      </c>
      <c r="D122" s="1">
        <v>200</v>
      </c>
      <c r="E122" s="1">
        <f>D122*7</f>
        <v>1400</v>
      </c>
    </row>
    <row r="123" spans="1:6" ht="17" x14ac:dyDescent="0.2">
      <c r="B123" s="1" t="s">
        <v>417</v>
      </c>
      <c r="D123" s="1">
        <v>200</v>
      </c>
      <c r="E123" s="1">
        <f>D123*7</f>
        <v>1400</v>
      </c>
    </row>
    <row r="124" spans="1:6" ht="17" x14ac:dyDescent="0.2">
      <c r="B124" s="1" t="s">
        <v>418</v>
      </c>
      <c r="D124" s="1">
        <f>E124/7</f>
        <v>47.142857142857146</v>
      </c>
      <c r="E124" s="1">
        <v>330</v>
      </c>
    </row>
    <row r="125" spans="1:6" ht="17" x14ac:dyDescent="0.2">
      <c r="B125" s="1" t="s">
        <v>254</v>
      </c>
      <c r="D125" s="1">
        <f>E125/7</f>
        <v>35.714285714285715</v>
      </c>
      <c r="E125" s="1">
        <v>250</v>
      </c>
    </row>
    <row r="126" spans="1:6" x14ac:dyDescent="0.2">
      <c r="A126" s="9">
        <v>5</v>
      </c>
    </row>
    <row r="128" spans="1:6" s="4" customFormat="1" ht="17" x14ac:dyDescent="0.2">
      <c r="A128" s="12" t="s">
        <v>614</v>
      </c>
      <c r="D128" s="4">
        <v>1500</v>
      </c>
      <c r="E128" s="4">
        <f>D128*E6</f>
        <v>10500</v>
      </c>
    </row>
    <row r="129" spans="1:6" ht="17" x14ac:dyDescent="0.2">
      <c r="B129" s="1" t="s">
        <v>415</v>
      </c>
      <c r="D129" s="1">
        <f>D128-D130</f>
        <v>1100</v>
      </c>
      <c r="E129" s="1">
        <f>D129*E6</f>
        <v>7700</v>
      </c>
    </row>
    <row r="130" spans="1:6" ht="17" x14ac:dyDescent="0.2">
      <c r="B130" s="1" t="s">
        <v>419</v>
      </c>
      <c r="D130" s="1">
        <f>200*2</f>
        <v>400</v>
      </c>
      <c r="E130" s="1">
        <f>D130*E6</f>
        <v>2800</v>
      </c>
    </row>
    <row r="131" spans="1:6" ht="17" x14ac:dyDescent="0.2">
      <c r="B131" s="1" t="s">
        <v>420</v>
      </c>
      <c r="D131" s="1">
        <f>E131/7</f>
        <v>28.571428571428573</v>
      </c>
      <c r="E131" s="1">
        <v>200</v>
      </c>
    </row>
    <row r="132" spans="1:6" ht="17" x14ac:dyDescent="0.2">
      <c r="B132" s="1" t="s">
        <v>421</v>
      </c>
      <c r="D132" s="1">
        <f>E132/7</f>
        <v>28.571428571428573</v>
      </c>
      <c r="E132" s="1">
        <v>200</v>
      </c>
    </row>
    <row r="133" spans="1:6" x14ac:dyDescent="0.2">
      <c r="A133" s="9">
        <v>4</v>
      </c>
    </row>
    <row r="135" spans="1:6" s="4" customFormat="1" ht="17" x14ac:dyDescent="0.2">
      <c r="A135" s="12" t="s">
        <v>422</v>
      </c>
      <c r="F135" s="12" t="s">
        <v>423</v>
      </c>
    </row>
    <row r="136" spans="1:6" x14ac:dyDescent="0.2">
      <c r="A136" s="273">
        <f>A126+A119+A114+A111+A103+A98+A95+A90+A83+A77+A75+A72+A69+A65+A55+A42+A36+A16+A13+A28+A106</f>
        <v>75</v>
      </c>
      <c r="D136" s="9"/>
      <c r="E136" s="9"/>
      <c r="F136" s="1">
        <f>F115+F112+F107+F104+F100+F97+F92+F84+F79+F76+F73+F70+F67+F56+F44+F37+F29+F19+F14+F7</f>
        <v>2503</v>
      </c>
    </row>
    <row r="138" spans="1:6" s="4" customFormat="1" ht="17" x14ac:dyDescent="0.2">
      <c r="A138" s="12" t="s">
        <v>424</v>
      </c>
    </row>
    <row r="139" spans="1:6" x14ac:dyDescent="0.2">
      <c r="A139" s="273">
        <f>A119+A114+A111+A103+A98+A95+A90+A83+A77+A75+A72+A69+A65+A55+A42+A36+A16+A13+A28+A106+A133</f>
        <v>74</v>
      </c>
    </row>
  </sheetData>
  <mergeCells count="13">
    <mergeCell ref="J72:K72"/>
    <mergeCell ref="M5:N5"/>
    <mergeCell ref="G3:H3"/>
    <mergeCell ref="G5:H5"/>
    <mergeCell ref="I5:J5"/>
    <mergeCell ref="K5:L5"/>
    <mergeCell ref="I69:K69"/>
    <mergeCell ref="J71:L71"/>
    <mergeCell ref="A1:F1"/>
    <mergeCell ref="G2:J2"/>
    <mergeCell ref="A2:F2"/>
    <mergeCell ref="A3:F3"/>
    <mergeCell ref="I67:M67"/>
  </mergeCells>
  <pageMargins left="0.7" right="0.7" top="0.78740157499999996" bottom="0.78740157499999996" header="0.3" footer="0.3"/>
  <pageSetup paperSize="9" scale="34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065F-8925-0046-A678-403F774D0363}">
  <sheetPr codeName="Tabelle2">
    <tabColor rgb="FFE1CFF3"/>
    <pageSetUpPr fitToPage="1"/>
  </sheetPr>
  <dimension ref="A1:S137"/>
  <sheetViews>
    <sheetView topLeftCell="D1" zoomScale="85" zoomScaleNormal="80" workbookViewId="0">
      <pane ySplit="9" topLeftCell="A112" activePane="bottomLeft" state="frozen"/>
      <selection activeCell="D1" sqref="D1"/>
      <selection pane="bottomLeft" activeCell="N127" sqref="N127"/>
    </sheetView>
  </sheetViews>
  <sheetFormatPr baseColWidth="10" defaultColWidth="10.83203125" defaultRowHeight="16" x14ac:dyDescent="0.2"/>
  <cols>
    <col min="1" max="1" width="27.5" style="9" customWidth="1"/>
    <col min="2" max="2" width="31" style="1" customWidth="1"/>
    <col min="3" max="3" width="11.83203125" style="1" customWidth="1"/>
    <col min="4" max="4" width="19.33203125" style="1" customWidth="1"/>
    <col min="5" max="5" width="22.33203125" style="1" customWidth="1"/>
    <col min="6" max="6" width="15.1640625" style="1" customWidth="1"/>
    <col min="7" max="8" width="16" style="1" customWidth="1"/>
    <col min="9" max="10" width="15.5" style="1" customWidth="1"/>
    <col min="11" max="12" width="15.6640625" style="1" customWidth="1"/>
    <col min="13" max="13" width="15.33203125" style="1" customWidth="1"/>
    <col min="14" max="14" width="15.1640625" style="1" customWidth="1"/>
    <col min="15" max="15" width="17.33203125" style="1" customWidth="1"/>
    <col min="16" max="16" width="16.33203125" style="1" customWidth="1"/>
    <col min="17" max="17" width="15.6640625" style="1" customWidth="1"/>
    <col min="18" max="18" width="13" style="1" bestFit="1" customWidth="1"/>
    <col min="19" max="16384" width="10.83203125" style="1"/>
  </cols>
  <sheetData>
    <row r="1" spans="1:17" ht="23" customHeight="1" x14ac:dyDescent="0.2">
      <c r="A1" s="420" t="s">
        <v>631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22" customHeight="1" x14ac:dyDescent="0.2">
      <c r="A2" s="420" t="s">
        <v>425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ht="17" customHeight="1" x14ac:dyDescent="0.2">
      <c r="A3" s="122"/>
      <c r="B3" s="123"/>
      <c r="C3" s="123"/>
      <c r="D3" s="123"/>
      <c r="E3" s="123"/>
      <c r="F3" s="123"/>
      <c r="J3" s="120"/>
      <c r="K3" s="120"/>
      <c r="L3" s="89"/>
      <c r="M3" s="120"/>
      <c r="N3" s="120"/>
      <c r="O3" s="120"/>
      <c r="P3" s="120"/>
      <c r="Q3" s="121"/>
    </row>
    <row r="4" spans="1:17" ht="17" customHeight="1" x14ac:dyDescent="0.2">
      <c r="A4" s="423" t="s">
        <v>426</v>
      </c>
      <c r="B4" s="423"/>
      <c r="C4" s="84">
        <f>2000/2500</f>
        <v>0.8</v>
      </c>
      <c r="D4" s="123"/>
      <c r="E4" s="123"/>
      <c r="F4" s="123"/>
      <c r="G4" s="120"/>
      <c r="H4" s="120"/>
      <c r="I4" s="120"/>
      <c r="J4" s="120"/>
      <c r="K4" s="120"/>
      <c r="L4" s="89"/>
      <c r="M4" s="120"/>
      <c r="N4" s="120"/>
      <c r="O4" s="120"/>
      <c r="P4" s="120"/>
      <c r="Q4" s="121"/>
    </row>
    <row r="5" spans="1:17" x14ac:dyDescent="0.2">
      <c r="D5" s="126"/>
      <c r="E5" s="126"/>
      <c r="F5" s="124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ht="18" customHeight="1" x14ac:dyDescent="0.2">
      <c r="A6" s="94"/>
      <c r="B6" s="94"/>
      <c r="C6" s="94"/>
      <c r="D6" s="114"/>
      <c r="E6" s="90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429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  <c r="G10" s="30"/>
      <c r="H10" s="30"/>
      <c r="J10" s="41"/>
      <c r="K10" s="41"/>
      <c r="M10" s="30"/>
      <c r="N10" s="30"/>
      <c r="P10" s="41"/>
      <c r="Q10" s="41"/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185.60000000000002</v>
      </c>
      <c r="E11" s="4">
        <f>D11*$E$10</f>
        <v>1299.2000000000003</v>
      </c>
      <c r="F11" s="4">
        <f>811*C4</f>
        <v>648.80000000000007</v>
      </c>
    </row>
    <row r="12" spans="1:17" ht="19" customHeight="1" x14ac:dyDescent="0.2">
      <c r="B12" s="1" t="s">
        <v>24</v>
      </c>
      <c r="D12" s="1">
        <f>30*C4</f>
        <v>24</v>
      </c>
      <c r="E12" s="1">
        <f t="shared" ref="E12:E16" si="0">D12*$E$10</f>
        <v>168</v>
      </c>
      <c r="G12" s="31">
        <f>'Price list REWE '!E9</f>
        <v>2.89</v>
      </c>
      <c r="H12" s="31">
        <f>G12/1000*D12</f>
        <v>6.9360000000000005E-2</v>
      </c>
      <c r="J12" s="42">
        <f>'Price list REWE '!H9</f>
        <v>2.89</v>
      </c>
      <c r="K12" s="42">
        <f>J12/1000*D12</f>
        <v>6.9360000000000005E-2</v>
      </c>
      <c r="M12" s="31">
        <f>'Price list ALDI Süd'!E9</f>
        <v>2.89</v>
      </c>
      <c r="N12" s="31">
        <f>M12/1000*D12</f>
        <v>6.9360000000000005E-2</v>
      </c>
      <c r="P12" s="42">
        <f>'Price list ALDI Süd'!H9</f>
        <v>2.89</v>
      </c>
      <c r="Q12" s="42">
        <f>P12/1000*D12</f>
        <v>6.9360000000000005E-2</v>
      </c>
    </row>
    <row r="13" spans="1:17" ht="17" x14ac:dyDescent="0.2">
      <c r="B13" s="1" t="s">
        <v>27</v>
      </c>
      <c r="D13" s="1">
        <f>50*C4</f>
        <v>40</v>
      </c>
      <c r="E13" s="1">
        <f t="shared" si="0"/>
        <v>280</v>
      </c>
      <c r="G13" s="31">
        <f>'Price list REWE '!E10</f>
        <v>1.58</v>
      </c>
      <c r="H13" s="31">
        <f>G13/1000*D13</f>
        <v>6.3200000000000006E-2</v>
      </c>
      <c r="J13" s="42">
        <f>'Price list REWE '!H10</f>
        <v>4.38</v>
      </c>
      <c r="K13" s="42">
        <f>J13/1000*D13</f>
        <v>0.17520000000000002</v>
      </c>
      <c r="M13" s="31">
        <f>'Price list ALDI Süd'!E10</f>
        <v>3.48</v>
      </c>
      <c r="N13" s="31">
        <f>M13/1000*D13</f>
        <v>0.13919999999999999</v>
      </c>
      <c r="P13" s="42">
        <f>'Price list ALDI Süd'!H10</f>
        <v>4.38</v>
      </c>
      <c r="Q13" s="42">
        <f>P13/1000*D13</f>
        <v>0.17520000000000002</v>
      </c>
    </row>
    <row r="14" spans="1:17" ht="17" x14ac:dyDescent="0.2">
      <c r="B14" s="1" t="s">
        <v>30</v>
      </c>
      <c r="D14" s="1">
        <f>50*C4</f>
        <v>40</v>
      </c>
      <c r="E14" s="1">
        <f t="shared" si="0"/>
        <v>280</v>
      </c>
      <c r="G14" s="31">
        <f>'Price list REWE '!E11</f>
        <v>2.13</v>
      </c>
      <c r="H14" s="31">
        <f>G14/1000*D14</f>
        <v>8.5199999999999998E-2</v>
      </c>
      <c r="J14" s="42">
        <f>'Price list REWE '!H11</f>
        <v>4.25</v>
      </c>
      <c r="K14" s="42">
        <f>J14/1000*D14</f>
        <v>0.17</v>
      </c>
      <c r="M14" s="31">
        <f>'Price list ALDI Süd'!E11</f>
        <v>2.84</v>
      </c>
      <c r="N14" s="31">
        <f>M14/1000*D14</f>
        <v>0.11359999999999998</v>
      </c>
      <c r="P14" s="42">
        <f>'Price list ALDI Süd'!H11</f>
        <v>5.25</v>
      </c>
      <c r="Q14" s="42">
        <f>P14/1000*D14</f>
        <v>0.21000000000000002</v>
      </c>
    </row>
    <row r="15" spans="1:17" ht="17" x14ac:dyDescent="0.2">
      <c r="B15" s="1" t="s">
        <v>33</v>
      </c>
      <c r="D15" s="1">
        <f>40*C4</f>
        <v>32</v>
      </c>
      <c r="E15" s="1">
        <f t="shared" si="0"/>
        <v>224</v>
      </c>
      <c r="G15" s="31">
        <f>'Price list REWE '!E12</f>
        <v>1.58</v>
      </c>
      <c r="H15" s="31">
        <f>G15/1000*D15</f>
        <v>5.0560000000000001E-2</v>
      </c>
      <c r="J15" s="42">
        <f>'Price list REWE '!H12</f>
        <v>1.98</v>
      </c>
      <c r="K15" s="42">
        <f>J15/1000*D15</f>
        <v>6.336E-2</v>
      </c>
      <c r="M15" s="31">
        <f>'Price list ALDI Süd'!E12</f>
        <v>1.58</v>
      </c>
      <c r="N15" s="31">
        <f>M15/1000*D15</f>
        <v>5.0560000000000001E-2</v>
      </c>
      <c r="P15" s="42">
        <f>'Price list ALDI Süd'!H12</f>
        <v>1.9</v>
      </c>
      <c r="Q15" s="42">
        <f>P15/1000*D15</f>
        <v>6.08E-2</v>
      </c>
    </row>
    <row r="16" spans="1:17" ht="17" x14ac:dyDescent="0.2">
      <c r="B16" s="1" t="s">
        <v>36</v>
      </c>
      <c r="D16" s="1">
        <f>62*C4</f>
        <v>49.6</v>
      </c>
      <c r="E16" s="1">
        <f t="shared" si="0"/>
        <v>347.2</v>
      </c>
      <c r="G16" s="31">
        <f>'Price list REWE '!E13</f>
        <v>3.58</v>
      </c>
      <c r="H16" s="31">
        <f>G16/1000*D16</f>
        <v>0.17756800000000003</v>
      </c>
      <c r="J16" s="42">
        <f>'Price list REWE '!H13</f>
        <v>2.98</v>
      </c>
      <c r="K16" s="42">
        <f>J16/1000*D16</f>
        <v>0.14780799999999999</v>
      </c>
      <c r="M16" s="31">
        <f>'Price list ALDI Süd'!E13</f>
        <v>2.98</v>
      </c>
      <c r="N16" s="31">
        <f>M16/1000*D16</f>
        <v>0.14780799999999999</v>
      </c>
      <c r="P16" s="42">
        <f>'Price list ALDI Süd'!H13</f>
        <v>2.98</v>
      </c>
      <c r="Q16" s="42">
        <f>P16/1000*D16</f>
        <v>0.14780799999999999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40</v>
      </c>
      <c r="E18" s="4">
        <f>D18*$E$10</f>
        <v>280</v>
      </c>
      <c r="F18" s="4">
        <f>39*C4</f>
        <v>31.200000000000003</v>
      </c>
      <c r="G18" s="12"/>
      <c r="P18" s="12"/>
    </row>
    <row r="19" spans="1:17" ht="17" x14ac:dyDescent="0.2">
      <c r="B19" s="1" t="s">
        <v>41</v>
      </c>
      <c r="D19" s="1">
        <f>50*C4</f>
        <v>40</v>
      </c>
      <c r="E19" s="1">
        <f>D19*E10</f>
        <v>280</v>
      </c>
      <c r="G19" s="31">
        <f>'Price list REWE '!$E$16</f>
        <v>0.92</v>
      </c>
      <c r="H19" s="31">
        <f>G19/1000*D19</f>
        <v>3.6799999999999999E-2</v>
      </c>
      <c r="J19" s="42">
        <f>'Price list REWE '!H16</f>
        <v>1.53</v>
      </c>
      <c r="K19" s="42">
        <f>J19/1000*D19</f>
        <v>6.1200000000000004E-2</v>
      </c>
      <c r="M19" s="31">
        <f>'Price list ALDI Süd'!E16</f>
        <v>0.96</v>
      </c>
      <c r="N19" s="31">
        <f>M19/1000*D19</f>
        <v>3.8399999999999997E-2</v>
      </c>
      <c r="P19" s="42">
        <f>'Price list ALDI Süd'!H16</f>
        <v>1.46</v>
      </c>
      <c r="Q19" s="42">
        <f>P19/1000*D19</f>
        <v>5.8399999999999994E-2</v>
      </c>
    </row>
    <row r="20" spans="1:17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240</v>
      </c>
      <c r="E21" s="4">
        <f>D21*$E$10</f>
        <v>1680</v>
      </c>
    </row>
    <row r="22" spans="1:17" x14ac:dyDescent="0.2">
      <c r="C22" s="6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80</v>
      </c>
      <c r="E23" s="4">
        <f>D23*7</f>
        <v>560</v>
      </c>
      <c r="F23" s="4">
        <f>23*C4</f>
        <v>18.400000000000002</v>
      </c>
      <c r="G23" s="12"/>
      <c r="P23" s="12"/>
    </row>
    <row r="24" spans="1:17" ht="17" x14ac:dyDescent="0.2">
      <c r="B24" s="16" t="s">
        <v>392</v>
      </c>
      <c r="C24" s="340">
        <v>8.1854823894030371E-2</v>
      </c>
      <c r="D24" s="6">
        <f>C24*$D$23</f>
        <v>6.5483859115224297</v>
      </c>
      <c r="E24" s="1">
        <f>D24*7</f>
        <v>45.838701380657007</v>
      </c>
      <c r="G24" s="33">
        <f>'Price list REWE '!E21</f>
        <v>3.0944625407166124</v>
      </c>
      <c r="H24" s="31">
        <f>G24/1000*D24</f>
        <v>2.0263734905362568E-2</v>
      </c>
      <c r="J24" s="42">
        <f>'Price list REWE '!H21</f>
        <v>3.0944625407166124</v>
      </c>
      <c r="K24" s="42">
        <f t="shared" ref="K24:K31" si="1">J24/1000*D24</f>
        <v>2.0263734905362568E-2</v>
      </c>
      <c r="M24" s="31">
        <f>'Price list ALDI Süd'!E21</f>
        <v>2.2475570032573291</v>
      </c>
      <c r="N24" s="31">
        <f t="shared" ref="N24:N31" si="2">M24/1000*D24</f>
        <v>1.4717870615473866E-2</v>
      </c>
      <c r="P24" s="45">
        <f>'Price list ALDI Süd'!H21</f>
        <v>2.2475570032573291</v>
      </c>
      <c r="Q24" s="42">
        <f t="shared" ref="Q24:Q31" si="3">P24/1000*D24</f>
        <v>1.4717870615473866E-2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4">C25*$D$23</f>
        <v>3.3465101297321938</v>
      </c>
      <c r="E25" s="1">
        <f t="shared" ref="E25:E31" si="5">D25*7</f>
        <v>23.425570908125355</v>
      </c>
      <c r="G25" s="33">
        <f>'Price list REWE '!E22</f>
        <v>2.875</v>
      </c>
      <c r="H25" s="31">
        <f t="shared" ref="H25:H31" si="6">G25/1000*D25</f>
        <v>9.6212166229800566E-3</v>
      </c>
      <c r="J25" s="42">
        <f>'Price list REWE '!H22</f>
        <v>5.98</v>
      </c>
      <c r="K25" s="42">
        <f t="shared" si="1"/>
        <v>2.0012130575798519E-2</v>
      </c>
      <c r="M25" s="31">
        <f>'Price list ALDI Süd'!E22</f>
        <v>2.875</v>
      </c>
      <c r="N25" s="31">
        <f t="shared" si="2"/>
        <v>9.6212166229800566E-3</v>
      </c>
      <c r="P25" s="45">
        <f>'Price list ALDI Süd'!H22</f>
        <v>11.96</v>
      </c>
      <c r="Q25" s="42">
        <f t="shared" si="3"/>
        <v>4.0024261151597039E-2</v>
      </c>
    </row>
    <row r="26" spans="1:17" ht="17" x14ac:dyDescent="0.2">
      <c r="B26" s="16" t="s">
        <v>51</v>
      </c>
      <c r="C26" s="340">
        <v>5.5140886754685689E-2</v>
      </c>
      <c r="D26" s="6">
        <f t="shared" si="4"/>
        <v>4.4112709403748553</v>
      </c>
      <c r="E26" s="1">
        <f t="shared" si="5"/>
        <v>30.878896582623987</v>
      </c>
      <c r="G26" s="33">
        <f>'Price list REWE '!E23</f>
        <v>1.76</v>
      </c>
      <c r="H26" s="31">
        <f t="shared" si="6"/>
        <v>7.7638368550597458E-3</v>
      </c>
      <c r="J26" s="42">
        <f>'Price list REWE '!H23</f>
        <v>3.32</v>
      </c>
      <c r="K26" s="42">
        <f t="shared" si="1"/>
        <v>1.464541952204452E-2</v>
      </c>
      <c r="M26" s="31">
        <f>'Price list ALDI Süd'!E23</f>
        <v>1.99</v>
      </c>
      <c r="N26" s="31">
        <f t="shared" si="2"/>
        <v>8.7784291713459625E-3</v>
      </c>
      <c r="P26" s="45">
        <f>'Price list ALDI Süd'!H23</f>
        <v>3.32</v>
      </c>
      <c r="Q26" s="42">
        <f t="shared" si="3"/>
        <v>1.464541952204452E-2</v>
      </c>
    </row>
    <row r="27" spans="1:17" ht="17" x14ac:dyDescent="0.2">
      <c r="B27" s="16" t="s">
        <v>394</v>
      </c>
      <c r="C27" s="340">
        <v>7.8411761271535096E-2</v>
      </c>
      <c r="D27" s="6">
        <f t="shared" si="4"/>
        <v>6.2729409017228077</v>
      </c>
      <c r="E27" s="1">
        <f t="shared" si="5"/>
        <v>43.910586312059657</v>
      </c>
      <c r="G27" s="33">
        <f>'Price list REWE '!E24</f>
        <v>1.8349928876244666</v>
      </c>
      <c r="H27" s="31">
        <f t="shared" si="6"/>
        <v>1.151080193914996E-2</v>
      </c>
      <c r="J27" s="42">
        <f>'Price list REWE '!H24</f>
        <v>3.8264580369843526</v>
      </c>
      <c r="K27" s="42">
        <f t="shared" si="1"/>
        <v>2.400314512892511E-2</v>
      </c>
      <c r="M27" s="31">
        <f>'Price list ALDI Süd'!E24</f>
        <v>1.4082503556187767</v>
      </c>
      <c r="N27" s="31">
        <f t="shared" si="2"/>
        <v>8.8338712556267126E-3</v>
      </c>
      <c r="P27" s="45">
        <f>'Price list ALDI Süd'!H24</f>
        <v>3.8264580369843526</v>
      </c>
      <c r="Q27" s="42">
        <f t="shared" si="3"/>
        <v>2.400314512892511E-2</v>
      </c>
    </row>
    <row r="28" spans="1:17" ht="17" x14ac:dyDescent="0.2">
      <c r="B28" s="16" t="s">
        <v>395</v>
      </c>
      <c r="C28" s="340">
        <v>0.10804527200358816</v>
      </c>
      <c r="D28" s="6">
        <f t="shared" si="4"/>
        <v>8.6436217602870524</v>
      </c>
      <c r="E28" s="1">
        <f t="shared" si="5"/>
        <v>60.505352322009365</v>
      </c>
      <c r="G28" s="33">
        <f>'Price list REWE '!E25</f>
        <v>6.2402088772845961</v>
      </c>
      <c r="H28" s="31">
        <f t="shared" si="6"/>
        <v>5.3938005240433573E-2</v>
      </c>
      <c r="J28" s="42">
        <f>'Price list REWE '!H25</f>
        <v>6.5013054830287214</v>
      </c>
      <c r="K28" s="42">
        <f t="shared" si="1"/>
        <v>5.619482554338058E-2</v>
      </c>
      <c r="M28" s="31">
        <f>'Price list ALDI Süd'!E25</f>
        <v>4.125</v>
      </c>
      <c r="N28" s="31">
        <f t="shared" si="2"/>
        <v>3.5654939761184092E-2</v>
      </c>
      <c r="P28" s="45">
        <f>'Price list ALDI Süd'!H25</f>
        <v>7.041666666666667</v>
      </c>
      <c r="Q28" s="42">
        <f t="shared" si="3"/>
        <v>6.0865503228687994E-2</v>
      </c>
    </row>
    <row r="29" spans="1:17" ht="17" x14ac:dyDescent="0.2">
      <c r="B29" s="16" t="s">
        <v>396</v>
      </c>
      <c r="C29" s="340">
        <v>0.24433687491347134</v>
      </c>
      <c r="D29" s="6">
        <f t="shared" si="4"/>
        <v>19.546949993077707</v>
      </c>
      <c r="E29" s="1">
        <f t="shared" si="5"/>
        <v>136.82864995154395</v>
      </c>
      <c r="G29" s="33">
        <f>'Price list REWE '!E26</f>
        <v>1.0745614035087721</v>
      </c>
      <c r="H29" s="31">
        <f t="shared" si="6"/>
        <v>2.1004398018877365E-2</v>
      </c>
      <c r="J29" s="42">
        <f>'Price list REWE '!H26</f>
        <v>3.2675438596491229</v>
      </c>
      <c r="K29" s="42">
        <f t="shared" si="1"/>
        <v>6.3870516424749529E-2</v>
      </c>
      <c r="M29" s="31">
        <f>'Price list ALDI Süd'!E26</f>
        <v>1.0745614035087721</v>
      </c>
      <c r="N29" s="31">
        <f t="shared" si="2"/>
        <v>2.1004398018877365E-2</v>
      </c>
      <c r="P29" s="45">
        <f>'Price list ALDI Süd'!H26</f>
        <v>1.2938596491228069</v>
      </c>
      <c r="Q29" s="42">
        <f t="shared" si="3"/>
        <v>2.5291009859464576E-2</v>
      </c>
    </row>
    <row r="30" spans="1:17" ht="17" x14ac:dyDescent="0.2">
      <c r="B30" s="16" t="s">
        <v>63</v>
      </c>
      <c r="C30" s="340">
        <v>0.19518950227051848</v>
      </c>
      <c r="D30" s="6">
        <f t="shared" si="4"/>
        <v>15.615160181641478</v>
      </c>
      <c r="E30" s="1">
        <f t="shared" si="5"/>
        <v>109.30612127149035</v>
      </c>
      <c r="G30" s="33">
        <f>'Price list REWE '!E27</f>
        <v>1.79</v>
      </c>
      <c r="H30" s="31">
        <f t="shared" si="6"/>
        <v>2.7951136725138249E-2</v>
      </c>
      <c r="J30" s="42">
        <f>'Price list REWE '!H27</f>
        <v>3.58</v>
      </c>
      <c r="K30" s="42">
        <f t="shared" si="1"/>
        <v>5.5902273450276499E-2</v>
      </c>
      <c r="M30" s="31">
        <f>'Price list ALDI Süd'!E27</f>
        <v>1.49</v>
      </c>
      <c r="N30" s="31">
        <f t="shared" si="2"/>
        <v>2.3266588670645804E-2</v>
      </c>
      <c r="P30" s="45">
        <f>'Price list ALDI Süd'!H27</f>
        <v>1.78</v>
      </c>
      <c r="Q30" s="42">
        <f t="shared" si="3"/>
        <v>2.7794985123321833E-2</v>
      </c>
    </row>
    <row r="31" spans="1:17" ht="17" x14ac:dyDescent="0.2">
      <c r="B31" s="16" t="s">
        <v>66</v>
      </c>
      <c r="C31" s="340">
        <v>0.19518950227051848</v>
      </c>
      <c r="D31" s="6">
        <f t="shared" si="4"/>
        <v>15.615160181641478</v>
      </c>
      <c r="E31" s="1">
        <f t="shared" si="5"/>
        <v>109.30612127149035</v>
      </c>
      <c r="G31" s="33">
        <f>'Price list REWE '!E28</f>
        <v>1.99</v>
      </c>
      <c r="H31" s="31">
        <f t="shared" si="6"/>
        <v>3.1074168761466542E-2</v>
      </c>
      <c r="J31" s="42">
        <f>'Price list REWE '!H28</f>
        <v>5.3</v>
      </c>
      <c r="K31" s="42">
        <f t="shared" si="1"/>
        <v>8.2760348962699834E-2</v>
      </c>
      <c r="M31" s="31">
        <f>'Price list ALDI Süd'!E28</f>
        <v>1.99</v>
      </c>
      <c r="N31" s="31">
        <f t="shared" si="2"/>
        <v>3.1074168761466542E-2</v>
      </c>
      <c r="P31" s="45">
        <f>'Price list ALDI Süd'!H28</f>
        <v>5.3</v>
      </c>
      <c r="Q31" s="42">
        <f t="shared" si="3"/>
        <v>8.2760348962699834E-2</v>
      </c>
    </row>
    <row r="32" spans="1:17" x14ac:dyDescent="0.2">
      <c r="A32" s="9">
        <v>8</v>
      </c>
      <c r="B32" s="16"/>
      <c r="C32" s="340"/>
      <c r="G32" s="33"/>
      <c r="H32" s="31"/>
      <c r="J32" s="42"/>
      <c r="K32" s="42"/>
      <c r="M32" s="31"/>
      <c r="N32" s="31"/>
      <c r="P32" s="45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80</v>
      </c>
      <c r="F33" s="4">
        <f>30*C4</f>
        <v>24</v>
      </c>
      <c r="G33" s="12"/>
      <c r="P33" s="81"/>
    </row>
    <row r="34" spans="1:17" ht="17" x14ac:dyDescent="0.2">
      <c r="B34" s="23" t="s">
        <v>70</v>
      </c>
      <c r="C34" s="340">
        <v>0.21012979994107583</v>
      </c>
      <c r="D34" s="6">
        <f>C34*D33</f>
        <v>16.810383995286067</v>
      </c>
      <c r="E34" s="1">
        <f t="shared" ref="E34:E39" si="7">D34*7</f>
        <v>117.67268796700247</v>
      </c>
      <c r="G34" s="33">
        <f>'Price list REWE '!E31</f>
        <v>1.75</v>
      </c>
      <c r="H34" s="31">
        <f t="shared" ref="H34:H39" si="8">G34/1000*D34</f>
        <v>2.9418171991750619E-2</v>
      </c>
      <c r="J34" s="42">
        <f>'Price list REWE '!H31</f>
        <v>2.79</v>
      </c>
      <c r="K34" s="42">
        <f t="shared" ref="K34:K39" si="9">J34/1000*D34</f>
        <v>4.6900971346848126E-2</v>
      </c>
      <c r="M34" s="31">
        <f>'Price list ALDI Süd'!E31</f>
        <v>1.5</v>
      </c>
      <c r="N34" s="31">
        <f t="shared" ref="N34:N39" si="10">M34/1000*D34</f>
        <v>2.5215575992929101E-2</v>
      </c>
      <c r="P34" s="45">
        <f>'Price list ALDI Süd'!H31</f>
        <v>2.19</v>
      </c>
      <c r="Q34" s="42">
        <f t="shared" ref="Q34:Q39" si="11">P34/1000*D34</f>
        <v>3.6814740949676489E-2</v>
      </c>
    </row>
    <row r="35" spans="1:17" ht="17" x14ac:dyDescent="0.2">
      <c r="B35" s="16" t="s">
        <v>73</v>
      </c>
      <c r="C35" s="340">
        <v>0.19042830974833957</v>
      </c>
      <c r="D35" s="6">
        <f>C35*D33</f>
        <v>15.234264779867166</v>
      </c>
      <c r="E35" s="1">
        <f t="shared" si="7"/>
        <v>106.63985345907017</v>
      </c>
      <c r="G35" s="33">
        <f>'Price list REWE '!E32</f>
        <v>2.79</v>
      </c>
      <c r="H35" s="31">
        <f t="shared" si="8"/>
        <v>4.2503598735829394E-2</v>
      </c>
      <c r="J35" s="42">
        <f>'Price list REWE '!H32</f>
        <v>5.18</v>
      </c>
      <c r="K35" s="42">
        <f t="shared" si="9"/>
        <v>7.8913491559711918E-2</v>
      </c>
      <c r="M35" s="31">
        <f>'Price list ALDI Süd'!E32</f>
        <v>1.79</v>
      </c>
      <c r="N35" s="31">
        <f t="shared" si="10"/>
        <v>2.7269333955962229E-2</v>
      </c>
      <c r="P35" s="45">
        <f>'Price list ALDI Süd'!H32</f>
        <v>4.58</v>
      </c>
      <c r="Q35" s="42">
        <f t="shared" si="11"/>
        <v>6.977293269179162E-2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15.234264779867166</v>
      </c>
      <c r="E36" s="1">
        <f t="shared" si="7"/>
        <v>106.63985345907017</v>
      </c>
      <c r="G36" s="33">
        <f>'Price list REWE '!E33</f>
        <v>1.7</v>
      </c>
      <c r="H36" s="31">
        <f t="shared" si="8"/>
        <v>2.589825012577418E-2</v>
      </c>
      <c r="J36" s="42">
        <f>'Price list REWE '!H33</f>
        <v>2.27</v>
      </c>
      <c r="K36" s="42">
        <f t="shared" si="9"/>
        <v>3.4581781050298466E-2</v>
      </c>
      <c r="M36" s="31">
        <f>'Price list ALDI Süd'!E33</f>
        <v>1.7</v>
      </c>
      <c r="N36" s="31">
        <f t="shared" si="10"/>
        <v>2.589825012577418E-2</v>
      </c>
      <c r="P36" s="45">
        <f>'Price list ALDI Süd'!H33</f>
        <v>1.98</v>
      </c>
      <c r="Q36" s="42">
        <f t="shared" si="11"/>
        <v>3.0163844264136989E-2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15.234264779867166</v>
      </c>
      <c r="E37" s="1">
        <f t="shared" si="7"/>
        <v>106.63985345907017</v>
      </c>
      <c r="G37" s="33">
        <f>'Price list REWE '!E34</f>
        <v>2.125</v>
      </c>
      <c r="H37" s="31">
        <f t="shared" si="8"/>
        <v>3.2372812657217732E-2</v>
      </c>
      <c r="J37" s="42">
        <f>'Price list REWE '!H34</f>
        <v>2.4750000000000001</v>
      </c>
      <c r="K37" s="42">
        <f t="shared" si="9"/>
        <v>3.7704805330171239E-2</v>
      </c>
      <c r="M37" s="31">
        <f>'Price list ALDI Süd'!E34</f>
        <v>2</v>
      </c>
      <c r="N37" s="31">
        <f t="shared" si="10"/>
        <v>3.0468529559734333E-2</v>
      </c>
      <c r="P37" s="45">
        <f>'Price list ALDI Süd'!H34</f>
        <v>2.4750000000000001</v>
      </c>
      <c r="Q37" s="42">
        <f t="shared" si="11"/>
        <v>3.7704805330171239E-2</v>
      </c>
    </row>
    <row r="38" spans="1:17" ht="17" x14ac:dyDescent="0.2">
      <c r="B38" s="16" t="s">
        <v>82</v>
      </c>
      <c r="C38" s="340">
        <v>0.10929263540695267</v>
      </c>
      <c r="D38" s="6">
        <f t="shared" si="12"/>
        <v>8.7434108325562132</v>
      </c>
      <c r="E38" s="1">
        <f t="shared" si="7"/>
        <v>61.203875827893491</v>
      </c>
      <c r="G38" s="33">
        <f>'Price list REWE '!E35</f>
        <v>3.98</v>
      </c>
      <c r="H38" s="31">
        <f t="shared" si="8"/>
        <v>3.4798775113573731E-2</v>
      </c>
      <c r="J38" s="42">
        <f>'Price list REWE '!H35</f>
        <v>6.99</v>
      </c>
      <c r="K38" s="42">
        <f t="shared" si="9"/>
        <v>6.1116441719567934E-2</v>
      </c>
      <c r="M38" s="31">
        <f>'Price list ALDI Süd'!E35</f>
        <v>3.79</v>
      </c>
      <c r="N38" s="31">
        <f t="shared" si="10"/>
        <v>3.3137527055388048E-2</v>
      </c>
      <c r="P38" s="57">
        <f>'Price list ALDI Süd'!H35</f>
        <v>4.4800000000000004</v>
      </c>
      <c r="Q38" s="42">
        <f t="shared" si="11"/>
        <v>3.9170480529851837E-2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8.7434108325562132</v>
      </c>
      <c r="E39" s="1">
        <f t="shared" si="7"/>
        <v>61.203875827893491</v>
      </c>
      <c r="G39" s="76">
        <f>'Price list REWE '!E36</f>
        <v>2.9289940828402368</v>
      </c>
      <c r="H39" s="31">
        <f t="shared" si="8"/>
        <v>2.5609398592398375E-2</v>
      </c>
      <c r="J39" s="42">
        <f>'Price list REWE '!H36</f>
        <v>3.8165680473372783</v>
      </c>
      <c r="K39" s="42">
        <f t="shared" si="9"/>
        <v>3.3369822408276677E-2</v>
      </c>
      <c r="M39" s="31">
        <f>'Price list ALDI Süd'!E36</f>
        <v>2.3372781065088759</v>
      </c>
      <c r="N39" s="31">
        <f t="shared" si="10"/>
        <v>2.0435782715146181E-2</v>
      </c>
      <c r="P39" s="46">
        <f>'Price list ALDI Süd'!H36</f>
        <v>3.8165680473372783</v>
      </c>
      <c r="Q39" s="42">
        <f t="shared" si="11"/>
        <v>3.3369822408276677E-2</v>
      </c>
    </row>
    <row r="40" spans="1:17" x14ac:dyDescent="0.2">
      <c r="A40" s="9">
        <v>6</v>
      </c>
      <c r="C40" s="340"/>
      <c r="D40" s="6"/>
      <c r="G40" s="35"/>
      <c r="H40" s="31"/>
      <c r="J40" s="42"/>
      <c r="K40" s="42"/>
      <c r="M40" s="31"/>
      <c r="N40" s="31"/>
      <c r="P40" s="46"/>
      <c r="Q40" s="42"/>
    </row>
    <row r="41" spans="1:17" s="4" customFormat="1" ht="17" x14ac:dyDescent="0.2">
      <c r="A41" s="12"/>
      <c r="B41" s="186" t="s">
        <v>88</v>
      </c>
      <c r="C41" s="341"/>
      <c r="D41" s="29">
        <f>100*C4</f>
        <v>80</v>
      </c>
      <c r="F41" s="4">
        <f>25*C4</f>
        <v>20</v>
      </c>
      <c r="G41" s="12"/>
      <c r="P41" s="81"/>
    </row>
    <row r="42" spans="1:17" ht="17" x14ac:dyDescent="0.2">
      <c r="B42" s="16" t="s">
        <v>89</v>
      </c>
      <c r="C42" s="340">
        <v>0.24393305975418372</v>
      </c>
      <c r="D42" s="1">
        <f>C42*$D$41</f>
        <v>19.514644780334699</v>
      </c>
      <c r="E42" s="1">
        <f>D42*7</f>
        <v>136.6025134623429</v>
      </c>
      <c r="G42" s="33">
        <f>'Price list REWE '!E39</f>
        <v>1.49</v>
      </c>
      <c r="H42" s="31">
        <f>G42/1000*D42</f>
        <v>2.9076820722698703E-2</v>
      </c>
      <c r="J42" s="42">
        <f>'Price list REWE '!H39</f>
        <v>1.49</v>
      </c>
      <c r="K42" s="42">
        <f>J42/1000*D42</f>
        <v>2.9076820722698703E-2</v>
      </c>
      <c r="M42" s="31">
        <f>'Price list ALDI Süd'!E39</f>
        <v>1.49</v>
      </c>
      <c r="N42" s="31">
        <f>M42/1000*D42</f>
        <v>2.9076820722698703E-2</v>
      </c>
      <c r="P42" s="45">
        <f>'Price list ALDI Süd'!H39</f>
        <v>1.49</v>
      </c>
      <c r="Q42" s="42">
        <f>P42/1000*D42</f>
        <v>2.9076820722698703E-2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8.504244994863237</v>
      </c>
      <c r="E43" s="1">
        <f>D43*7</f>
        <v>59.529714964042661</v>
      </c>
      <c r="G43" s="78">
        <f>'Price list REWE '!E40</f>
        <v>1.99</v>
      </c>
      <c r="H43" s="31">
        <f>G43/1000*D43</f>
        <v>1.6923447539777842E-2</v>
      </c>
      <c r="J43" s="42">
        <f>'Price list REWE '!H40</f>
        <v>7.3</v>
      </c>
      <c r="K43" s="42">
        <f>J43/1000*D43</f>
        <v>6.2080988462501631E-2</v>
      </c>
      <c r="M43" s="31">
        <f>'Price list ALDI Süd'!E40</f>
        <v>1.99</v>
      </c>
      <c r="N43" s="31">
        <f>M43/1000*D43</f>
        <v>1.6923447539777842E-2</v>
      </c>
      <c r="P43" s="42">
        <f>'Price list ALDI Süd'!H40</f>
        <v>3.32</v>
      </c>
      <c r="Q43" s="42">
        <f>P43/1000*D43</f>
        <v>2.8234093382945948E-2</v>
      </c>
    </row>
    <row r="44" spans="1:17" ht="17" x14ac:dyDescent="0.2">
      <c r="B44" s="16" t="s">
        <v>94</v>
      </c>
      <c r="C44" s="87">
        <v>0.46774770023805184</v>
      </c>
      <c r="D44" s="1">
        <f t="shared" si="13"/>
        <v>37.419816019044148</v>
      </c>
      <c r="E44" s="1">
        <f>D44*7</f>
        <v>261.93871213330902</v>
      </c>
      <c r="G44" s="33">
        <f>'Price list REWE '!E41</f>
        <v>1.79</v>
      </c>
      <c r="H44" s="31">
        <f>G44/1000*D44</f>
        <v>6.6981470674089036E-2</v>
      </c>
      <c r="J44" s="42">
        <f>'Price list REWE '!H41</f>
        <v>3.05</v>
      </c>
      <c r="K44" s="42">
        <f>J44/1000*D44</f>
        <v>0.11413043885808465</v>
      </c>
      <c r="M44" s="31">
        <f>'Price list ALDI Süd'!E41</f>
        <v>1.99</v>
      </c>
      <c r="N44" s="31">
        <f>M44/1000*D44</f>
        <v>7.4465433877897849E-2</v>
      </c>
      <c r="P44" s="45">
        <f>'Price list ALDI Süd'!H41</f>
        <v>1.99</v>
      </c>
      <c r="Q44" s="42">
        <f>P44/1000*D44</f>
        <v>7.4465433877897849E-2</v>
      </c>
    </row>
    <row r="45" spans="1:17" ht="17" x14ac:dyDescent="0.2">
      <c r="B45" s="16" t="s">
        <v>398</v>
      </c>
      <c r="C45" s="87">
        <v>0.10260798307610458</v>
      </c>
      <c r="D45" s="1">
        <f t="shared" si="13"/>
        <v>8.2086386460883674</v>
      </c>
      <c r="E45" s="1">
        <f>D45*7</f>
        <v>57.460470522618571</v>
      </c>
      <c r="G45" s="33">
        <f>'Price list REWE '!E42</f>
        <v>6.99</v>
      </c>
      <c r="H45" s="31">
        <f>G45/1000*D45</f>
        <v>5.7378384136157694E-2</v>
      </c>
      <c r="J45" s="42">
        <f>'Price list REWE '!H42</f>
        <v>9.9600000000000009</v>
      </c>
      <c r="K45" s="42">
        <f>J45/1000*D45</f>
        <v>8.1758040915040145E-2</v>
      </c>
      <c r="M45" s="31">
        <f>'Price list ALDI Süd'!E42</f>
        <v>4.9800000000000004</v>
      </c>
      <c r="N45" s="31">
        <f>M45/1000*D45</f>
        <v>4.0879020457520072E-2</v>
      </c>
      <c r="P45" s="45">
        <f>'Price list ALDI Süd'!H42</f>
        <v>7.16</v>
      </c>
      <c r="Q45" s="42">
        <f>P45/1000*D45</f>
        <v>5.8773852705992717E-2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6.3526555596695555</v>
      </c>
      <c r="E46" s="1">
        <f>D46*7</f>
        <v>44.468588917686887</v>
      </c>
      <c r="G46" s="33">
        <f>'Price list REWE '!E43</f>
        <v>10</v>
      </c>
      <c r="H46" s="31">
        <f>G46/1000*D46</f>
        <v>6.3526555596695553E-2</v>
      </c>
      <c r="J46" s="42">
        <f>'Price list REWE '!H43</f>
        <v>10</v>
      </c>
      <c r="K46" s="42">
        <f>J46/1000*D46</f>
        <v>6.3526555596695553E-2</v>
      </c>
      <c r="M46" s="31">
        <f>'Price list ALDI Süd'!E43</f>
        <v>9.9</v>
      </c>
      <c r="N46" s="31">
        <f>M46/1000*D46</f>
        <v>6.2891290040728604E-2</v>
      </c>
      <c r="P46" s="42">
        <f>'Price list ALDI Süd'!H43</f>
        <v>9.9</v>
      </c>
      <c r="Q46" s="42">
        <f>P46/1000*D46</f>
        <v>6.2891290040728604E-2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160</v>
      </c>
      <c r="E48" s="4">
        <f>D48*$E$10</f>
        <v>1120</v>
      </c>
      <c r="F48" s="4">
        <f>126*C4</f>
        <v>100.80000000000001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71.945640858432128</v>
      </c>
      <c r="E49" s="1">
        <f t="shared" ref="E49:E58" si="14">D49*$E$10</f>
        <v>503.61948600902491</v>
      </c>
      <c r="G49" s="58">
        <f>'Price list REWE '!E46</f>
        <v>1.19</v>
      </c>
      <c r="H49" s="31">
        <f t="shared" ref="H49:H58" si="15">G49/1000*D49</f>
        <v>8.5615312621534226E-2</v>
      </c>
      <c r="J49" s="42">
        <f>'Price list REWE '!H46</f>
        <v>2.99</v>
      </c>
      <c r="K49" s="42">
        <f t="shared" ref="K49:K58" si="16">J49/1000*D49</f>
        <v>0.21511746616671207</v>
      </c>
      <c r="M49" s="31">
        <f>'Price list ALDI Süd'!E46</f>
        <v>0.94499999999999995</v>
      </c>
      <c r="N49" s="31">
        <f t="shared" ref="N49:N58" si="17">M49/1000*D49</f>
        <v>6.7988630611218362E-2</v>
      </c>
      <c r="P49" s="187">
        <f>'Price list ALDI Süd'!H46</f>
        <v>1.92</v>
      </c>
      <c r="Q49" s="42">
        <f t="shared" ref="Q49:Q58" si="18">P49/1000*D49</f>
        <v>0.13813563044818966</v>
      </c>
    </row>
    <row r="50" spans="1:17" ht="17" x14ac:dyDescent="0.2">
      <c r="B50" s="26" t="s">
        <v>106</v>
      </c>
      <c r="C50" s="342">
        <v>4.5787970295011769E-2</v>
      </c>
      <c r="D50" s="1">
        <f t="shared" ref="D50:D58" si="19">C50*$D$48</f>
        <v>7.3260752472018833</v>
      </c>
      <c r="E50" s="1">
        <f t="shared" si="14"/>
        <v>51.282526730413181</v>
      </c>
      <c r="G50" s="58">
        <f>'Price list REWE '!E47</f>
        <v>1.79</v>
      </c>
      <c r="H50" s="31">
        <f t="shared" si="15"/>
        <v>1.3113674692491372E-2</v>
      </c>
      <c r="J50" s="42">
        <f>'Price list REWE '!H47</f>
        <v>3.65</v>
      </c>
      <c r="K50" s="42">
        <f t="shared" si="16"/>
        <v>2.6740174652286876E-2</v>
      </c>
      <c r="M50" s="31">
        <f>'Price list ALDI Süd'!E47</f>
        <v>1.79</v>
      </c>
      <c r="N50" s="31">
        <f t="shared" si="17"/>
        <v>1.3113674692491372E-2</v>
      </c>
      <c r="P50" s="187">
        <f>'Price list ALDI Süd'!H47</f>
        <v>3.65</v>
      </c>
      <c r="Q50" s="42">
        <f t="shared" si="18"/>
        <v>2.6740174652286876E-2</v>
      </c>
    </row>
    <row r="51" spans="1:17" ht="17" x14ac:dyDescent="0.2">
      <c r="B51" s="26" t="s">
        <v>109</v>
      </c>
      <c r="C51" s="342">
        <v>2.019481503339627E-2</v>
      </c>
      <c r="D51" s="1">
        <f t="shared" si="19"/>
        <v>3.2311704053434029</v>
      </c>
      <c r="E51" s="1">
        <f t="shared" si="14"/>
        <v>22.618192837403821</v>
      </c>
      <c r="G51" s="58">
        <f>'Price list REWE '!E48</f>
        <v>4.99</v>
      </c>
      <c r="H51" s="31">
        <f t="shared" si="15"/>
        <v>1.6123540322663582E-2</v>
      </c>
      <c r="J51" s="42">
        <f>'Price list REWE '!H48</f>
        <v>4.99</v>
      </c>
      <c r="K51" s="42">
        <f t="shared" si="16"/>
        <v>1.6123540322663582E-2</v>
      </c>
      <c r="M51" s="31">
        <f>'Price list ALDI Süd'!E48</f>
        <v>3.98</v>
      </c>
      <c r="N51" s="31">
        <f t="shared" si="17"/>
        <v>1.2860058213266743E-2</v>
      </c>
      <c r="P51" s="187">
        <f>'Price list ALDI Süd'!H48</f>
        <v>3.98</v>
      </c>
      <c r="Q51" s="42">
        <f t="shared" si="18"/>
        <v>1.2860058213266743E-2</v>
      </c>
    </row>
    <row r="52" spans="1:17" ht="17" x14ac:dyDescent="0.2">
      <c r="B52" s="26" t="s">
        <v>111</v>
      </c>
      <c r="C52" s="342">
        <v>2.0560497203855613E-2</v>
      </c>
      <c r="D52" s="1">
        <f t="shared" si="19"/>
        <v>3.289679552616898</v>
      </c>
      <c r="E52" s="1">
        <f t="shared" si="14"/>
        <v>23.027756868318285</v>
      </c>
      <c r="G52" s="58">
        <f>'Price list REWE '!E49</f>
        <v>7.98</v>
      </c>
      <c r="H52" s="31">
        <f t="shared" si="15"/>
        <v>2.6251642829882849E-2</v>
      </c>
      <c r="J52" s="42">
        <f>'Price list REWE '!H49</f>
        <v>10.63</v>
      </c>
      <c r="K52" s="42">
        <f t="shared" si="16"/>
        <v>3.4969293644317626E-2</v>
      </c>
      <c r="M52" s="31">
        <f>'Price list ALDI Süd'!E49</f>
        <v>7.98</v>
      </c>
      <c r="N52" s="31">
        <f t="shared" si="17"/>
        <v>2.6251642829882849E-2</v>
      </c>
      <c r="P52" s="187">
        <f>'Price list ALDI Süd'!H49</f>
        <v>9.9700000000000006</v>
      </c>
      <c r="Q52" s="42">
        <f t="shared" si="18"/>
        <v>3.2798105139590479E-2</v>
      </c>
    </row>
    <row r="53" spans="1:17" ht="17" x14ac:dyDescent="0.2">
      <c r="B53" s="26" t="s">
        <v>114</v>
      </c>
      <c r="C53" s="342">
        <v>1.772181875645604E-2</v>
      </c>
      <c r="D53" s="1">
        <f t="shared" si="19"/>
        <v>2.8354910010329664</v>
      </c>
      <c r="E53" s="1">
        <f t="shared" si="14"/>
        <v>19.848437007230764</v>
      </c>
      <c r="G53" s="58">
        <f>'Price list REWE '!E50</f>
        <v>5.98</v>
      </c>
      <c r="H53" s="31">
        <f t="shared" si="15"/>
        <v>1.6956236186177139E-2</v>
      </c>
      <c r="J53" s="42">
        <f>'Price list REWE '!H50</f>
        <v>10.63</v>
      </c>
      <c r="K53" s="42">
        <f t="shared" si="16"/>
        <v>3.0141269340980433E-2</v>
      </c>
      <c r="M53" s="31">
        <f>'Price list ALDI Süd'!E50</f>
        <v>5.98</v>
      </c>
      <c r="N53" s="31">
        <f t="shared" si="17"/>
        <v>1.6956236186177139E-2</v>
      </c>
      <c r="P53" s="187">
        <f>'Price list ALDI Süd'!H50</f>
        <v>9.9700000000000006</v>
      </c>
      <c r="Q53" s="42">
        <f t="shared" si="18"/>
        <v>2.8269845280298678E-2</v>
      </c>
    </row>
    <row r="54" spans="1:17" ht="17" x14ac:dyDescent="0.2">
      <c r="B54" s="26" t="s">
        <v>117</v>
      </c>
      <c r="C54" s="342">
        <v>7.018785236884495E-2</v>
      </c>
      <c r="D54" s="1">
        <f t="shared" si="19"/>
        <v>11.230056379015192</v>
      </c>
      <c r="E54" s="1">
        <f t="shared" si="14"/>
        <v>78.61039465310634</v>
      </c>
      <c r="G54" s="58">
        <f>'Price list REWE '!E51</f>
        <v>5.58</v>
      </c>
      <c r="H54" s="31">
        <f t="shared" si="15"/>
        <v>6.2663714594904774E-2</v>
      </c>
      <c r="J54" s="42">
        <f>'Price list REWE '!H51</f>
        <v>5.58</v>
      </c>
      <c r="K54" s="42">
        <f t="shared" si="16"/>
        <v>6.2663714594904774E-2</v>
      </c>
      <c r="M54" s="31">
        <f>'Price list ALDI Süd'!E51</f>
        <v>3.99</v>
      </c>
      <c r="N54" s="31">
        <f t="shared" si="17"/>
        <v>4.4807924952270622E-2</v>
      </c>
      <c r="P54" s="187">
        <f>'Price list ALDI Süd'!H51</f>
        <v>9.9700000000000006</v>
      </c>
      <c r="Q54" s="42">
        <f t="shared" si="18"/>
        <v>0.11196366209878147</v>
      </c>
    </row>
    <row r="55" spans="1:17" ht="17" x14ac:dyDescent="0.2">
      <c r="B55" s="26" t="s">
        <v>119</v>
      </c>
      <c r="C55" s="342">
        <v>9.5944736748873077E-2</v>
      </c>
      <c r="D55" s="1">
        <f t="shared" si="19"/>
        <v>15.351157879819691</v>
      </c>
      <c r="E55" s="1">
        <f t="shared" si="14"/>
        <v>107.45810515873784</v>
      </c>
      <c r="G55" s="58">
        <f>'Price list REWE '!E52</f>
        <v>3.58</v>
      </c>
      <c r="H55" s="31">
        <f t="shared" si="15"/>
        <v>5.4957145209754497E-2</v>
      </c>
      <c r="J55" s="42">
        <f>'Price list REWE '!H52</f>
        <v>3.58</v>
      </c>
      <c r="K55" s="42">
        <f t="shared" si="16"/>
        <v>5.4957145209754497E-2</v>
      </c>
      <c r="M55" s="31">
        <f>'Price list ALDI Süd'!E52</f>
        <v>3.38</v>
      </c>
      <c r="N55" s="31">
        <f t="shared" si="17"/>
        <v>5.1886913633790555E-2</v>
      </c>
      <c r="P55" s="187">
        <f>'Price list ALDI Süd'!H52</f>
        <v>3.38</v>
      </c>
      <c r="Q55" s="42">
        <f t="shared" si="18"/>
        <v>5.1886913633790555E-2</v>
      </c>
    </row>
    <row r="56" spans="1:17" ht="17" x14ac:dyDescent="0.2">
      <c r="B56" s="26" t="s">
        <v>121</v>
      </c>
      <c r="C56" s="342">
        <v>0.21388130862220195</v>
      </c>
      <c r="D56" s="1">
        <f t="shared" si="19"/>
        <v>34.221009379552314</v>
      </c>
      <c r="E56" s="1">
        <f t="shared" si="14"/>
        <v>239.54706565686621</v>
      </c>
      <c r="G56" s="58">
        <f>'Price list REWE '!E53</f>
        <v>1.29</v>
      </c>
      <c r="H56" s="31">
        <f t="shared" si="15"/>
        <v>4.4145102099622489E-2</v>
      </c>
      <c r="J56" s="42">
        <f>'Price list REWE '!H53</f>
        <v>1.99</v>
      </c>
      <c r="K56" s="42">
        <f t="shared" si="16"/>
        <v>6.8099808665309111E-2</v>
      </c>
      <c r="M56" s="31">
        <f>'Price list ALDI Süd'!E53</f>
        <v>1.29</v>
      </c>
      <c r="N56" s="31">
        <f t="shared" si="17"/>
        <v>4.4145102099622489E-2</v>
      </c>
      <c r="P56" s="187">
        <f>'Price list ALDI Süd'!H53</f>
        <v>1.99</v>
      </c>
      <c r="Q56" s="42">
        <f t="shared" si="18"/>
        <v>6.8099808665309111E-2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1.8729406057384965</v>
      </c>
      <c r="E57" s="1">
        <f t="shared" si="14"/>
        <v>13.110584240169477</v>
      </c>
      <c r="G57" s="78">
        <f>'Price list REWE '!E54</f>
        <v>5.98</v>
      </c>
      <c r="H57" s="31">
        <f t="shared" si="15"/>
        <v>1.120018482231621E-2</v>
      </c>
      <c r="J57" s="42">
        <f>'Price list REWE '!H54</f>
        <v>5.98</v>
      </c>
      <c r="K57" s="42">
        <f t="shared" si="16"/>
        <v>1.120018482231621E-2</v>
      </c>
      <c r="M57" s="31">
        <f>'Price list ALDI Süd'!E54</f>
        <v>3.98</v>
      </c>
      <c r="N57" s="31">
        <f t="shared" si="17"/>
        <v>7.4543036108392158E-3</v>
      </c>
      <c r="P57" s="42">
        <f>'Price list ALDI Süd'!H54</f>
        <v>3.98</v>
      </c>
      <c r="Q57" s="42">
        <f t="shared" si="18"/>
        <v>7.4543036108392158E-3</v>
      </c>
    </row>
    <row r="58" spans="1:17" ht="17" x14ac:dyDescent="0.2">
      <c r="B58" s="26" t="s">
        <v>126</v>
      </c>
      <c r="C58" s="87">
        <v>5.4354866820293855E-2</v>
      </c>
      <c r="D58" s="1">
        <f t="shared" si="19"/>
        <v>8.6967786912470171</v>
      </c>
      <c r="E58" s="1">
        <f t="shared" si="14"/>
        <v>60.877450838729118</v>
      </c>
      <c r="G58" s="78">
        <f>'Price list REWE '!E55</f>
        <v>4.9800000000000004</v>
      </c>
      <c r="H58" s="31">
        <f t="shared" si="15"/>
        <v>4.3309957882410148E-2</v>
      </c>
      <c r="J58" s="42">
        <f>'Price list REWE '!H55</f>
        <v>4.9800000000000004</v>
      </c>
      <c r="K58" s="42">
        <f t="shared" si="16"/>
        <v>4.3309957882410148E-2</v>
      </c>
      <c r="M58" s="31">
        <f>'Price list ALDI Süd'!E55</f>
        <v>3.98</v>
      </c>
      <c r="N58" s="31">
        <f t="shared" si="17"/>
        <v>3.4613179191163128E-2</v>
      </c>
      <c r="P58" s="42">
        <f>'Price list ALDI Süd'!H55</f>
        <v>3.98</v>
      </c>
      <c r="Q58" s="42">
        <f t="shared" si="18"/>
        <v>3.4613179191163128E-2</v>
      </c>
    </row>
    <row r="59" spans="1:17" x14ac:dyDescent="0.2">
      <c r="A59" s="9">
        <v>10</v>
      </c>
      <c r="B59" s="26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200</v>
      </c>
      <c r="E60" s="4">
        <f>D60*$E$10</f>
        <v>1400</v>
      </c>
      <c r="F60" s="4">
        <f>153*C4</f>
        <v>122.4</v>
      </c>
    </row>
    <row r="61" spans="1:17" ht="17" x14ac:dyDescent="0.2">
      <c r="B61" s="1" t="s">
        <v>129</v>
      </c>
      <c r="D61" s="1">
        <f>100*C4</f>
        <v>80</v>
      </c>
      <c r="E61" s="1">
        <f t="shared" ref="E61:E69" si="20">D61*$E$10</f>
        <v>560</v>
      </c>
      <c r="G61" s="31">
        <f>'Price list REWE '!E58</f>
        <v>1.05</v>
      </c>
      <c r="H61" s="31">
        <f t="shared" ref="H61:H69" si="21">G61/1000*D61</f>
        <v>8.4000000000000019E-2</v>
      </c>
      <c r="J61" s="42">
        <f>'Price list REWE '!H58</f>
        <v>1.25</v>
      </c>
      <c r="K61" s="42">
        <f t="shared" ref="K61:K69" si="22">J61/1000*D61</f>
        <v>0.1</v>
      </c>
      <c r="M61" s="31">
        <f>'Price list ALDI Süd'!E58</f>
        <v>1.05</v>
      </c>
      <c r="N61" s="31">
        <f t="shared" ref="N61:N69" si="23">M61/1000*D61</f>
        <v>8.4000000000000019E-2</v>
      </c>
      <c r="P61" s="42">
        <f>'Price list ALDI Süd'!H58</f>
        <v>1.25</v>
      </c>
      <c r="Q61" s="42">
        <f t="shared" ref="Q61:Q69" si="24">P61/1000*D61</f>
        <v>0.1</v>
      </c>
    </row>
    <row r="62" spans="1:17" ht="17" x14ac:dyDescent="0.2">
      <c r="B62" s="1" t="s">
        <v>132</v>
      </c>
      <c r="D62" s="1">
        <f>80*C4</f>
        <v>64</v>
      </c>
      <c r="E62" s="1">
        <f t="shared" si="20"/>
        <v>448</v>
      </c>
      <c r="G62" s="31">
        <f>'Price list REWE '!E59</f>
        <v>1.7</v>
      </c>
      <c r="H62" s="31">
        <f t="shared" si="21"/>
        <v>0.10879999999999999</v>
      </c>
      <c r="J62" s="42">
        <f>'Price list REWE '!H59</f>
        <v>2.38</v>
      </c>
      <c r="K62" s="42">
        <f t="shared" si="22"/>
        <v>0.15231999999999998</v>
      </c>
      <c r="M62" s="31">
        <f>'Price list ALDI Süd'!E59</f>
        <v>1.7</v>
      </c>
      <c r="N62" s="31">
        <f t="shared" si="23"/>
        <v>0.10879999999999999</v>
      </c>
      <c r="P62" s="42">
        <f>'Price list ALDI Süd'!H59</f>
        <v>2.38</v>
      </c>
      <c r="Q62" s="42">
        <f t="shared" si="24"/>
        <v>0.15231999999999998</v>
      </c>
    </row>
    <row r="63" spans="1:17" ht="17" x14ac:dyDescent="0.2">
      <c r="B63" s="1" t="s">
        <v>135</v>
      </c>
      <c r="D63" s="1">
        <f>10*C4</f>
        <v>8</v>
      </c>
      <c r="E63" s="1">
        <f t="shared" si="20"/>
        <v>56</v>
      </c>
      <c r="G63" s="31">
        <f>'Price list REWE '!E60</f>
        <v>4.63</v>
      </c>
      <c r="H63" s="31">
        <f t="shared" si="21"/>
        <v>3.7039999999999997E-2</v>
      </c>
      <c r="J63" s="42">
        <f>'Price list REWE '!H60</f>
        <v>7.37</v>
      </c>
      <c r="K63" s="42">
        <f t="shared" si="22"/>
        <v>5.8959999999999999E-2</v>
      </c>
      <c r="M63" s="31">
        <f>'Price list ALDI Süd'!E60</f>
        <v>4.63</v>
      </c>
      <c r="N63" s="31">
        <f t="shared" si="23"/>
        <v>3.7039999999999997E-2</v>
      </c>
      <c r="P63" s="42">
        <f>'Price list ALDI Süd'!H60</f>
        <v>7.37</v>
      </c>
      <c r="Q63" s="42">
        <f t="shared" si="24"/>
        <v>5.8959999999999999E-2</v>
      </c>
    </row>
    <row r="64" spans="1:17" ht="17" x14ac:dyDescent="0.2">
      <c r="B64" s="1" t="s">
        <v>138</v>
      </c>
      <c r="D64" s="1">
        <f>10*C4</f>
        <v>8</v>
      </c>
      <c r="E64" s="1">
        <f t="shared" si="20"/>
        <v>56</v>
      </c>
      <c r="G64" s="31">
        <f>'Price list REWE '!E61</f>
        <v>2.98</v>
      </c>
      <c r="H64" s="31">
        <f t="shared" si="21"/>
        <v>2.384E-2</v>
      </c>
      <c r="J64" s="42">
        <f>'Price list REWE '!H61</f>
        <v>4.2</v>
      </c>
      <c r="K64" s="42">
        <f t="shared" si="22"/>
        <v>3.3600000000000005E-2</v>
      </c>
      <c r="M64" s="31">
        <f>'Price list ALDI Süd'!E61</f>
        <v>2.8</v>
      </c>
      <c r="N64" s="31">
        <f t="shared" si="23"/>
        <v>2.24E-2</v>
      </c>
      <c r="P64" s="42">
        <f>'Price list ALDI Süd'!H61</f>
        <v>4.2</v>
      </c>
      <c r="Q64" s="42">
        <f t="shared" si="24"/>
        <v>3.3600000000000005E-2</v>
      </c>
    </row>
    <row r="65" spans="1:17" ht="19" customHeight="1" x14ac:dyDescent="0.2">
      <c r="B65" s="1" t="s">
        <v>141</v>
      </c>
      <c r="D65" s="1">
        <f>10*C4</f>
        <v>8</v>
      </c>
      <c r="E65" s="1">
        <f t="shared" si="20"/>
        <v>56</v>
      </c>
      <c r="G65" s="31">
        <f>'Price list REWE '!E62</f>
        <v>7.92</v>
      </c>
      <c r="H65" s="31">
        <f t="shared" si="21"/>
        <v>6.336E-2</v>
      </c>
      <c r="J65" s="42">
        <f>'Price list REWE '!H62</f>
        <v>10.32</v>
      </c>
      <c r="K65" s="42">
        <f t="shared" si="22"/>
        <v>8.2560000000000008E-2</v>
      </c>
      <c r="M65" s="31">
        <f>'Price list ALDI Süd'!E62</f>
        <v>7.92</v>
      </c>
      <c r="N65" s="31">
        <f t="shared" si="23"/>
        <v>6.336E-2</v>
      </c>
      <c r="P65" s="42">
        <f>'Price list ALDI Süd'!H62</f>
        <v>10.32</v>
      </c>
      <c r="Q65" s="42">
        <f t="shared" si="24"/>
        <v>8.2560000000000008E-2</v>
      </c>
    </row>
    <row r="66" spans="1:17" ht="17" x14ac:dyDescent="0.2">
      <c r="B66" s="1" t="s">
        <v>144</v>
      </c>
      <c r="D66" s="1">
        <f>10*C4</f>
        <v>8</v>
      </c>
      <c r="E66" s="1">
        <f t="shared" si="20"/>
        <v>56</v>
      </c>
      <c r="G66" s="31">
        <f>'Price list REWE '!E63</f>
        <v>3.45</v>
      </c>
      <c r="H66" s="31">
        <f t="shared" si="21"/>
        <v>2.7600000000000003E-2</v>
      </c>
      <c r="J66" s="42">
        <f>'Price list REWE '!H63</f>
        <v>4.45</v>
      </c>
      <c r="K66" s="42">
        <f t="shared" si="22"/>
        <v>3.56E-2</v>
      </c>
      <c r="M66" s="31">
        <f>'Price list ALDI Süd'!E63</f>
        <v>3.45</v>
      </c>
      <c r="N66" s="31">
        <f t="shared" si="23"/>
        <v>2.7600000000000003E-2</v>
      </c>
      <c r="P66" s="42">
        <f>'Price list ALDI Süd'!H63</f>
        <v>4.25</v>
      </c>
      <c r="Q66" s="42">
        <f t="shared" si="24"/>
        <v>3.4000000000000002E-2</v>
      </c>
    </row>
    <row r="67" spans="1:17" ht="17" x14ac:dyDescent="0.2">
      <c r="B67" s="1" t="s">
        <v>401</v>
      </c>
      <c r="D67" s="1">
        <f>10*C4</f>
        <v>8</v>
      </c>
      <c r="E67" s="1">
        <f t="shared" si="20"/>
        <v>56</v>
      </c>
      <c r="G67" s="31">
        <f>'Price list REWE '!E64</f>
        <v>7.48</v>
      </c>
      <c r="H67" s="31">
        <f t="shared" si="21"/>
        <v>5.9840000000000004E-2</v>
      </c>
      <c r="J67" s="42">
        <f>'Price list REWE '!H64</f>
        <v>12.6</v>
      </c>
      <c r="K67" s="42">
        <f t="shared" si="22"/>
        <v>0.1008</v>
      </c>
      <c r="M67" s="31">
        <f>'Price list ALDI Süd'!E64</f>
        <v>9.9600000000000009</v>
      </c>
      <c r="N67" s="31">
        <f t="shared" si="23"/>
        <v>7.9680000000000001E-2</v>
      </c>
      <c r="P67" s="42">
        <f>'Price list ALDI Süd'!H64</f>
        <v>10.95</v>
      </c>
      <c r="Q67" s="42">
        <f t="shared" si="24"/>
        <v>8.7599999999999997E-2</v>
      </c>
    </row>
    <row r="68" spans="1:17" ht="34" x14ac:dyDescent="0.2">
      <c r="B68" s="1" t="s">
        <v>402</v>
      </c>
      <c r="D68" s="1">
        <f>10*C4</f>
        <v>8</v>
      </c>
      <c r="E68" s="1">
        <f t="shared" si="20"/>
        <v>56</v>
      </c>
      <c r="G68" s="31">
        <f>'Price list REWE '!E65</f>
        <v>11.56</v>
      </c>
      <c r="H68" s="31">
        <f t="shared" si="21"/>
        <v>9.2480000000000007E-2</v>
      </c>
      <c r="J68" s="42">
        <f>'Price list REWE '!H65</f>
        <v>14.6</v>
      </c>
      <c r="K68" s="42">
        <f t="shared" si="22"/>
        <v>0.1168</v>
      </c>
      <c r="M68" s="31">
        <f>'Price list ALDI Süd'!E65</f>
        <v>11.56</v>
      </c>
      <c r="N68" s="31">
        <f t="shared" si="23"/>
        <v>9.2480000000000007E-2</v>
      </c>
      <c r="P68" s="42">
        <f>'Price list ALDI Süd'!H65</f>
        <v>14.6</v>
      </c>
      <c r="Q68" s="42">
        <f t="shared" si="24"/>
        <v>0.1168</v>
      </c>
    </row>
    <row r="69" spans="1:17" ht="17" x14ac:dyDescent="0.2">
      <c r="B69" s="1" t="s">
        <v>403</v>
      </c>
      <c r="D69" s="1">
        <f>10*C4</f>
        <v>8</v>
      </c>
      <c r="E69" s="1">
        <f t="shared" si="20"/>
        <v>56</v>
      </c>
      <c r="G69" s="31">
        <f>'Price list REWE '!E66</f>
        <v>9.9499999999999993</v>
      </c>
      <c r="H69" s="31">
        <f t="shared" si="21"/>
        <v>7.959999999999999E-2</v>
      </c>
      <c r="J69" s="42">
        <f>'Price list REWE '!H66</f>
        <v>13.27</v>
      </c>
      <c r="K69" s="42">
        <f t="shared" si="22"/>
        <v>0.10615999999999999</v>
      </c>
      <c r="M69" s="31">
        <f>'Price list ALDI Süd'!E66</f>
        <v>9.9499999999999993</v>
      </c>
      <c r="N69" s="31">
        <f t="shared" si="23"/>
        <v>7.959999999999999E-2</v>
      </c>
      <c r="P69" s="42">
        <f>'Price list ALDI Süd'!H66</f>
        <v>13.28</v>
      </c>
      <c r="Q69" s="42">
        <f t="shared" si="24"/>
        <v>0.10624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7*C4</f>
        <v>5.6000000000000005</v>
      </c>
      <c r="E71" s="4">
        <f>D71*E10</f>
        <v>39.200000000000003</v>
      </c>
      <c r="F71" s="4">
        <f>15*C4</f>
        <v>12</v>
      </c>
    </row>
    <row r="72" spans="1:17" ht="17" x14ac:dyDescent="0.2">
      <c r="B72" s="1" t="s">
        <v>158</v>
      </c>
      <c r="D72" s="1">
        <f>7*C4</f>
        <v>5.6000000000000005</v>
      </c>
      <c r="E72" s="1">
        <v>49</v>
      </c>
      <c r="G72" s="31">
        <f>'Price list REWE '!E69</f>
        <v>13.96</v>
      </c>
      <c r="H72" s="31">
        <f>G72/1000*D72</f>
        <v>7.8176000000000009E-2</v>
      </c>
      <c r="J72" s="42">
        <f>'Price list REWE '!H69</f>
        <v>15.9</v>
      </c>
      <c r="K72" s="42">
        <f>J72/1000*D72</f>
        <v>8.9040000000000008E-2</v>
      </c>
      <c r="M72" s="31">
        <f>'Price list ALDI Süd'!E69</f>
        <v>9.7799999999999994</v>
      </c>
      <c r="N72" s="31">
        <f>M72/1000*D72</f>
        <v>5.4767999999999997E-2</v>
      </c>
      <c r="P72" s="42">
        <f>'Price list ALDI Süd'!H69</f>
        <v>11.98</v>
      </c>
      <c r="Q72" s="42">
        <f>P72/1000*D72</f>
        <v>6.7088000000000009E-2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7*C4</f>
        <v>5.6000000000000005</v>
      </c>
      <c r="E74" s="4">
        <f>D74*E10</f>
        <v>39.200000000000003</v>
      </c>
      <c r="F74" s="4">
        <f>15*C4</f>
        <v>12</v>
      </c>
    </row>
    <row r="75" spans="1:17" ht="17" x14ac:dyDescent="0.2">
      <c r="B75" s="1" t="s">
        <v>162</v>
      </c>
      <c r="D75" s="1">
        <f>7*C4</f>
        <v>5.6000000000000005</v>
      </c>
      <c r="E75" s="1">
        <v>49</v>
      </c>
      <c r="G75" s="31">
        <f>'Price list REWE '!E72</f>
        <v>8.98</v>
      </c>
      <c r="H75" s="31">
        <f>G75/1000*D75</f>
        <v>5.0288000000000006E-2</v>
      </c>
      <c r="J75" s="42">
        <f>'Price list REWE '!H72</f>
        <v>29.9</v>
      </c>
      <c r="K75" s="42">
        <f>J75/1000*D75</f>
        <v>0.16744000000000001</v>
      </c>
      <c r="M75" s="31">
        <f>'Price list ALDI Süd'!E72</f>
        <v>8.98</v>
      </c>
      <c r="N75" s="31">
        <f>M75/1000*D75</f>
        <v>5.0288000000000006E-2</v>
      </c>
      <c r="P75" s="42">
        <f>'Price list ALDI Süd'!H72</f>
        <v>17.96</v>
      </c>
      <c r="Q75" s="42">
        <f>P75/1000*D75</f>
        <v>0.10057600000000001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29*C4</f>
        <v>23.200000000000003</v>
      </c>
      <c r="E77" s="4">
        <f>D77*E10</f>
        <v>162.40000000000003</v>
      </c>
      <c r="F77" s="4">
        <f>62*C4</f>
        <v>49.6</v>
      </c>
    </row>
    <row r="78" spans="1:17" ht="17" x14ac:dyDescent="0.2">
      <c r="B78" s="1" t="s">
        <v>166</v>
      </c>
      <c r="D78" s="1">
        <f>29*C4</f>
        <v>23.200000000000003</v>
      </c>
      <c r="E78" s="1">
        <v>203</v>
      </c>
      <c r="G78" s="31">
        <f>'Price list REWE '!E75</f>
        <v>9.98</v>
      </c>
      <c r="H78" s="31">
        <f>G78/1000*D78</f>
        <v>0.23153600000000005</v>
      </c>
      <c r="J78" s="42">
        <f>'Price list REWE '!H75</f>
        <v>34.9</v>
      </c>
      <c r="K78" s="42">
        <f>J78/1000*D78</f>
        <v>0.80968000000000007</v>
      </c>
      <c r="M78" s="31">
        <f>'Price list ALDI Süd'!E75</f>
        <v>9.98</v>
      </c>
      <c r="N78" s="31">
        <f>M78/1000*D78</f>
        <v>0.23153600000000005</v>
      </c>
      <c r="P78" s="42">
        <f>'Price list ALDI Süd'!H75</f>
        <v>24.99</v>
      </c>
      <c r="Q78" s="42">
        <f>P78/1000*D78</f>
        <v>0.57976800000000006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10.4</v>
      </c>
      <c r="E80" s="4">
        <f>D80*E10</f>
        <v>72.8</v>
      </c>
      <c r="F80" s="4">
        <f>19*C4</f>
        <v>15.200000000000001</v>
      </c>
    </row>
    <row r="81" spans="1:17" ht="17" x14ac:dyDescent="0.2">
      <c r="B81" s="1" t="s">
        <v>170</v>
      </c>
      <c r="D81" s="1">
        <f>13*C4</f>
        <v>10.4</v>
      </c>
      <c r="E81" s="1">
        <v>91</v>
      </c>
      <c r="G81" s="31">
        <f>'Price list REWE '!E78</f>
        <v>3.98</v>
      </c>
      <c r="H81" s="31">
        <f>G81/1000*D81</f>
        <v>4.1392000000000005E-2</v>
      </c>
      <c r="J81" s="42">
        <f>'Price list REWE '!H78</f>
        <v>7.9666666666666677</v>
      </c>
      <c r="K81" s="42">
        <f>J81/1000*D81</f>
        <v>8.2853333333333334E-2</v>
      </c>
      <c r="M81" s="31">
        <f>'Price list ALDI Süd'!E78</f>
        <v>3.98</v>
      </c>
      <c r="N81" s="31">
        <f>M81/1000*D81</f>
        <v>4.1392000000000005E-2</v>
      </c>
      <c r="P81" s="42">
        <f>'Price list ALDI Süd'!H78</f>
        <v>6.38</v>
      </c>
      <c r="Q81" s="42">
        <f>P81/1000*D81</f>
        <v>6.6352000000000008E-2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28*C4</f>
        <v>22.400000000000002</v>
      </c>
      <c r="E83" s="4">
        <f>D83*E10</f>
        <v>156.80000000000001</v>
      </c>
      <c r="F83" s="4">
        <f>40*C4</f>
        <v>32</v>
      </c>
    </row>
    <row r="84" spans="1:17" ht="17" x14ac:dyDescent="0.2">
      <c r="B84" s="1" t="s">
        <v>174</v>
      </c>
      <c r="D84" s="1">
        <f>D83/3</f>
        <v>7.4666666666666677</v>
      </c>
      <c r="E84" s="1">
        <f>D84*7</f>
        <v>52.266666666666673</v>
      </c>
      <c r="G84" s="31">
        <f>'Price list REWE '!E81</f>
        <v>23.96</v>
      </c>
      <c r="H84" s="31">
        <f>G84/1000*D84</f>
        <v>0.17890133333333338</v>
      </c>
      <c r="J84" s="42">
        <f>'Price list REWE '!H81</f>
        <v>31.96</v>
      </c>
      <c r="K84" s="42">
        <f>J84/1000*D84</f>
        <v>0.23863466666666672</v>
      </c>
      <c r="M84" s="31">
        <f>'Price list ALDI Süd'!E81</f>
        <v>23.96</v>
      </c>
      <c r="N84" s="31">
        <f>M84/1000*D84</f>
        <v>0.17890133333333338</v>
      </c>
      <c r="P84" s="42">
        <f>'Price list ALDI Süd'!H81</f>
        <v>31.96</v>
      </c>
      <c r="Q84" s="42">
        <f>P84/1000*D84</f>
        <v>0.23863466666666672</v>
      </c>
    </row>
    <row r="85" spans="1:17" ht="17" x14ac:dyDescent="0.2">
      <c r="B85" s="1" t="s">
        <v>177</v>
      </c>
      <c r="D85" s="1">
        <f>D83/3</f>
        <v>7.4666666666666677</v>
      </c>
      <c r="E85" s="1">
        <f>D85*7</f>
        <v>52.266666666666673</v>
      </c>
      <c r="G85" s="31">
        <f>'Price list REWE '!E82</f>
        <v>7.49</v>
      </c>
      <c r="H85" s="31">
        <f>G85/1000*D85</f>
        <v>5.5925333333333341E-2</v>
      </c>
      <c r="J85" s="42">
        <f>'Price list REWE '!H82</f>
        <v>7.49</v>
      </c>
      <c r="K85" s="42">
        <f>J85/1000*D85</f>
        <v>5.5925333333333341E-2</v>
      </c>
      <c r="M85" s="31">
        <f>'Price list ALDI Süd'!E82</f>
        <v>7.49</v>
      </c>
      <c r="N85" s="31">
        <f>M85/1000*D85</f>
        <v>5.5925333333333341E-2</v>
      </c>
      <c r="P85" s="42">
        <f>'Price list ALDI Süd'!H82</f>
        <v>7.49</v>
      </c>
      <c r="Q85" s="42">
        <f>P85/1000*D85</f>
        <v>5.5925333333333341E-2</v>
      </c>
    </row>
    <row r="86" spans="1:17" ht="17" x14ac:dyDescent="0.2">
      <c r="B86" s="1" t="s">
        <v>179</v>
      </c>
      <c r="D86" s="1">
        <f>D83/3</f>
        <v>7.4666666666666677</v>
      </c>
      <c r="E86" s="1">
        <f>D86*7</f>
        <v>52.266666666666673</v>
      </c>
      <c r="G86" s="31">
        <f>'Price list REWE '!E83</f>
        <v>7.6410256410256414</v>
      </c>
      <c r="H86" s="31">
        <f>G86/1000*D86</f>
        <v>5.7052991452991461E-2</v>
      </c>
      <c r="J86" s="42">
        <f>'Price list REWE '!H83</f>
        <v>20.5625</v>
      </c>
      <c r="K86" s="42">
        <f>J86/1000*D86</f>
        <v>0.15353333333333335</v>
      </c>
      <c r="M86" s="31">
        <f>'Price list ALDI Süd'!E83</f>
        <v>7.6410256410256414</v>
      </c>
      <c r="N86" s="31">
        <f>M86/1000*D86</f>
        <v>5.7052991452991461E-2</v>
      </c>
      <c r="P86" s="42">
        <f>'Price list ALDI Süd'!H83</f>
        <v>20.5625</v>
      </c>
      <c r="Q86" s="42">
        <f>P86/1000*D86</f>
        <v>0.15353333333333335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50*C4</f>
        <v>40</v>
      </c>
      <c r="E88" s="4">
        <f>D88*$E$10</f>
        <v>280</v>
      </c>
      <c r="F88" s="4">
        <f>172*C4</f>
        <v>137.6</v>
      </c>
    </row>
    <row r="89" spans="1:17" ht="17" x14ac:dyDescent="0.2">
      <c r="B89" s="1" t="s">
        <v>183</v>
      </c>
      <c r="D89" s="1">
        <f t="shared" ref="D89:D94" si="25">$D$88/6</f>
        <v>6.666666666666667</v>
      </c>
      <c r="E89" s="1">
        <f t="shared" ref="E89:E94" si="26">D89*$E$10</f>
        <v>46.666666666666671</v>
      </c>
      <c r="G89" s="31">
        <f>'Price list REWE '!E86</f>
        <v>4.58</v>
      </c>
      <c r="H89" s="31">
        <f t="shared" ref="H89:H94" si="27">G89/1000*D89</f>
        <v>3.0533333333333332E-2</v>
      </c>
      <c r="J89" s="42">
        <f>'Price list REWE '!H86</f>
        <v>3.3</v>
      </c>
      <c r="K89" s="42">
        <f t="shared" ref="K89:K94" si="28">J89/1000*D89</f>
        <v>2.2000000000000002E-2</v>
      </c>
      <c r="M89" s="31">
        <f>'Price list ALDI Süd'!E86</f>
        <v>3.98</v>
      </c>
      <c r="N89" s="31">
        <f t="shared" ref="N89:N94" si="29">M89/1000*D89</f>
        <v>2.6533333333333336E-2</v>
      </c>
      <c r="P89" s="42">
        <f>'Price list ALDI Süd'!H86</f>
        <v>3.3</v>
      </c>
      <c r="Q89" s="42">
        <f t="shared" ref="Q89:Q94" si="30">P89/1000*D89</f>
        <v>2.2000000000000002E-2</v>
      </c>
    </row>
    <row r="90" spans="1:17" ht="17" x14ac:dyDescent="0.2">
      <c r="B90" s="1" t="s">
        <v>186</v>
      </c>
      <c r="D90" s="1">
        <f t="shared" si="25"/>
        <v>6.666666666666667</v>
      </c>
      <c r="E90" s="1">
        <f t="shared" si="26"/>
        <v>46.666666666666671</v>
      </c>
      <c r="G90" s="31">
        <f>'Price list REWE '!E87</f>
        <v>2.9749999999999996</v>
      </c>
      <c r="H90" s="31">
        <f t="shared" si="27"/>
        <v>1.9833333333333331E-2</v>
      </c>
      <c r="J90" s="42">
        <f>'Price list REWE '!H87</f>
        <v>3.5833333333333335</v>
      </c>
      <c r="K90" s="42">
        <f t="shared" si="28"/>
        <v>2.388888888888889E-2</v>
      </c>
      <c r="M90" s="31">
        <f>'Price list ALDI Süd'!E87</f>
        <v>2.9749999999999996</v>
      </c>
      <c r="N90" s="31">
        <f t="shared" si="29"/>
        <v>1.9833333333333331E-2</v>
      </c>
      <c r="P90" s="42">
        <f>'Price list ALDI Süd'!H87</f>
        <v>3.5833333333333335</v>
      </c>
      <c r="Q90" s="42">
        <f t="shared" si="30"/>
        <v>2.388888888888889E-2</v>
      </c>
    </row>
    <row r="91" spans="1:17" ht="17" x14ac:dyDescent="0.2">
      <c r="B91" s="1" t="s">
        <v>189</v>
      </c>
      <c r="D91" s="1">
        <f t="shared" si="25"/>
        <v>6.666666666666667</v>
      </c>
      <c r="E91" s="1">
        <f t="shared" si="26"/>
        <v>46.666666666666671</v>
      </c>
      <c r="G91" s="31">
        <f>'Price list REWE '!E88</f>
        <v>1.7249999999999999</v>
      </c>
      <c r="H91" s="31">
        <f t="shared" si="27"/>
        <v>1.15E-2</v>
      </c>
      <c r="J91" s="42">
        <f>'Price list REWE '!H88</f>
        <v>2.75</v>
      </c>
      <c r="K91" s="42">
        <f t="shared" si="28"/>
        <v>1.8333333333333333E-2</v>
      </c>
      <c r="M91" s="31">
        <f>'Price list ALDI Süd'!E88</f>
        <v>1.7249999999999999</v>
      </c>
      <c r="N91" s="31">
        <f t="shared" si="29"/>
        <v>1.15E-2</v>
      </c>
      <c r="P91" s="42">
        <f>'Price list ALDI Süd'!H88</f>
        <v>2.75</v>
      </c>
      <c r="Q91" s="42">
        <f t="shared" si="30"/>
        <v>1.8333333333333333E-2</v>
      </c>
    </row>
    <row r="92" spans="1:17" ht="17" x14ac:dyDescent="0.2">
      <c r="B92" s="1" t="s">
        <v>192</v>
      </c>
      <c r="D92" s="1">
        <f t="shared" si="25"/>
        <v>6.666666666666667</v>
      </c>
      <c r="E92" s="1">
        <f t="shared" si="26"/>
        <v>46.666666666666671</v>
      </c>
      <c r="G92" s="31">
        <f>'Price list REWE '!E89</f>
        <v>1.99</v>
      </c>
      <c r="H92" s="31">
        <f t="shared" si="27"/>
        <v>1.3266666666666668E-2</v>
      </c>
      <c r="J92" s="42">
        <f>'Price list REWE '!H89</f>
        <v>3.98</v>
      </c>
      <c r="K92" s="42">
        <f t="shared" si="28"/>
        <v>2.6533333333333336E-2</v>
      </c>
      <c r="M92" s="31">
        <f>'Price list ALDI Süd'!E89</f>
        <v>1.99</v>
      </c>
      <c r="N92" s="31">
        <f t="shared" si="29"/>
        <v>1.3266666666666668E-2</v>
      </c>
      <c r="P92" s="42">
        <f>'Price list ALDI Süd'!H89</f>
        <v>3.32</v>
      </c>
      <c r="Q92" s="42">
        <f t="shared" si="30"/>
        <v>2.2133333333333335E-2</v>
      </c>
    </row>
    <row r="93" spans="1:17" ht="17" x14ac:dyDescent="0.2">
      <c r="B93" s="1" t="s">
        <v>622</v>
      </c>
      <c r="D93" s="1">
        <f t="shared" si="25"/>
        <v>6.666666666666667</v>
      </c>
      <c r="E93" s="1">
        <f t="shared" si="26"/>
        <v>46.666666666666671</v>
      </c>
      <c r="G93" s="31">
        <f>'Price list REWE '!E90</f>
        <v>1.7249999999999999</v>
      </c>
      <c r="H93" s="31">
        <f t="shared" si="27"/>
        <v>1.15E-2</v>
      </c>
      <c r="J93" s="42">
        <f>'Price list REWE '!H90</f>
        <v>3</v>
      </c>
      <c r="K93" s="42">
        <f t="shared" si="28"/>
        <v>0.02</v>
      </c>
      <c r="M93" s="31">
        <f>'Price list ALDI Süd'!E90</f>
        <v>1.7249999999999999</v>
      </c>
      <c r="N93" s="31">
        <f t="shared" si="29"/>
        <v>1.15E-2</v>
      </c>
      <c r="P93" s="42">
        <f>'Price list ALDI Süd'!H90</f>
        <v>2.75</v>
      </c>
      <c r="Q93" s="42">
        <f t="shared" si="30"/>
        <v>1.8333333333333333E-2</v>
      </c>
    </row>
    <row r="94" spans="1:17" ht="17" x14ac:dyDescent="0.2">
      <c r="B94" s="1" t="s">
        <v>623</v>
      </c>
      <c r="D94" s="1">
        <f t="shared" si="25"/>
        <v>6.666666666666667</v>
      </c>
      <c r="E94" s="1">
        <f t="shared" si="26"/>
        <v>46.666666666666671</v>
      </c>
      <c r="G94" s="31">
        <f>'Price list REWE '!E91</f>
        <v>2.0441176470588234</v>
      </c>
      <c r="H94" s="31">
        <f t="shared" si="27"/>
        <v>1.3627450980392157E-2</v>
      </c>
      <c r="J94" s="42">
        <f>'Price list REWE '!H91</f>
        <v>2.0441176470588234</v>
      </c>
      <c r="K94" s="42">
        <f t="shared" si="28"/>
        <v>1.3627450980392157E-2</v>
      </c>
      <c r="M94" s="31">
        <f>'Price list ALDI Süd'!E91</f>
        <v>3.3559322033898304</v>
      </c>
      <c r="N94" s="31">
        <f t="shared" si="29"/>
        <v>2.2372881355932205E-2</v>
      </c>
      <c r="P94" s="42">
        <f>'Price list ALDI Süd'!H91</f>
        <v>3.3559322033898304</v>
      </c>
      <c r="Q94" s="42">
        <f t="shared" si="30"/>
        <v>2.2372881355932205E-2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25*C4</f>
        <v>20</v>
      </c>
      <c r="E96" s="4">
        <f>D96*E10</f>
        <v>140</v>
      </c>
      <c r="F96" s="4">
        <f>112*C4</f>
        <v>89.600000000000009</v>
      </c>
    </row>
    <row r="97" spans="1:17" ht="17" x14ac:dyDescent="0.2">
      <c r="B97" s="1" t="s">
        <v>201</v>
      </c>
      <c r="D97" s="1">
        <f>D96/2</f>
        <v>10</v>
      </c>
      <c r="E97" s="1">
        <f>D97*7</f>
        <v>70</v>
      </c>
      <c r="G97" s="31">
        <f>'Price list REWE '!E94</f>
        <v>5.48</v>
      </c>
      <c r="H97" s="31">
        <f>G97/1000*D97</f>
        <v>5.4800000000000001E-2</v>
      </c>
      <c r="J97" s="42">
        <f>'Price list REWE '!H94</f>
        <v>5.48</v>
      </c>
      <c r="K97" s="42">
        <f>J97/1000*D97</f>
        <v>5.4800000000000001E-2</v>
      </c>
      <c r="M97" s="31">
        <f>'Price list ALDI Süd'!E94</f>
        <v>5.48</v>
      </c>
      <c r="N97" s="31">
        <f>M97/1000*D97</f>
        <v>5.4800000000000001E-2</v>
      </c>
      <c r="P97" s="42">
        <f>'Price list ALDI Süd'!H94</f>
        <v>5.48</v>
      </c>
      <c r="Q97" s="42">
        <f>P97/1000*D97</f>
        <v>5.4800000000000001E-2</v>
      </c>
    </row>
    <row r="98" spans="1:17" ht="17" x14ac:dyDescent="0.2">
      <c r="B98" s="1" t="s">
        <v>203</v>
      </c>
      <c r="D98" s="1">
        <f>D96/2</f>
        <v>10</v>
      </c>
      <c r="E98" s="1">
        <f>D98*7</f>
        <v>70</v>
      </c>
      <c r="G98" s="31">
        <f>'Price list REWE '!E95</f>
        <v>6.26</v>
      </c>
      <c r="H98" s="31">
        <f>G98/1000*D98</f>
        <v>6.2600000000000003E-2</v>
      </c>
      <c r="J98" s="42">
        <f>'Price list REWE '!H95</f>
        <v>6.26</v>
      </c>
      <c r="K98" s="42">
        <f>J98/1000*D98</f>
        <v>6.2600000000000003E-2</v>
      </c>
      <c r="M98" s="31">
        <f>'Price list ALDI Süd'!E95</f>
        <v>6.26</v>
      </c>
      <c r="N98" s="31">
        <f>M98/1000*D98</f>
        <v>6.2600000000000003E-2</v>
      </c>
      <c r="P98" s="42">
        <f>'Price list ALDI Süd'!H95</f>
        <v>6.26</v>
      </c>
      <c r="Q98" s="42">
        <f>P98/1000*D98</f>
        <v>6.2600000000000003E-2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113.60000000000001</v>
      </c>
    </row>
    <row r="102" spans="1:17" ht="17" x14ac:dyDescent="0.2">
      <c r="B102" s="1" t="s">
        <v>207</v>
      </c>
      <c r="D102" s="1">
        <f>25*C4</f>
        <v>20</v>
      </c>
      <c r="E102" s="1">
        <f>D102*E10</f>
        <v>140</v>
      </c>
      <c r="G102" s="31">
        <f>'Price list REWE '!E99</f>
        <v>4.9800000000000004</v>
      </c>
      <c r="H102" s="31">
        <f>G102/1000*D102</f>
        <v>9.9599999999999994E-2</v>
      </c>
      <c r="J102" s="42">
        <f>'Price list REWE '!H99</f>
        <v>4.9800000000000004</v>
      </c>
      <c r="K102" s="42">
        <f>J102/1000*D102</f>
        <v>9.9599999999999994E-2</v>
      </c>
      <c r="M102" s="31">
        <f>'Price list ALDI Süd'!E99</f>
        <v>4.9800000000000004</v>
      </c>
      <c r="N102" s="31">
        <f>M102/1000*D102</f>
        <v>9.9599999999999994E-2</v>
      </c>
      <c r="P102" s="42">
        <f>'Price list ALDI Süd'!H99</f>
        <v>4.9800000000000004</v>
      </c>
      <c r="Q102" s="42">
        <f>P102/1000*D102</f>
        <v>9.9599999999999994E-2</v>
      </c>
    </row>
    <row r="103" spans="1:17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20</v>
      </c>
      <c r="E104" s="8">
        <f>D104*7</f>
        <v>140</v>
      </c>
      <c r="F104" s="8">
        <f>149*C4</f>
        <v>119.2</v>
      </c>
    </row>
    <row r="105" spans="1:17" ht="17" x14ac:dyDescent="0.2">
      <c r="B105" s="1" t="s">
        <v>210</v>
      </c>
      <c r="D105" s="7">
        <f>D104/2</f>
        <v>10</v>
      </c>
      <c r="E105" s="1">
        <f>D105*7</f>
        <v>70</v>
      </c>
      <c r="G105" s="31">
        <f>'Price list REWE '!E102</f>
        <v>11.45</v>
      </c>
      <c r="H105" s="31">
        <f>G105/1000*D105</f>
        <v>0.1145</v>
      </c>
      <c r="J105" s="42">
        <f>'Price list REWE '!H102</f>
        <v>17.95</v>
      </c>
      <c r="K105" s="42">
        <f>J105/1000*D105</f>
        <v>0.17949999999999999</v>
      </c>
      <c r="M105" s="31">
        <f>'Price list ALDI Süd'!E102</f>
        <v>11.45</v>
      </c>
      <c r="N105" s="31">
        <f>M105/1000*D105</f>
        <v>0.1145</v>
      </c>
      <c r="P105" s="42">
        <f>'Price list ALDI Süd'!H102</f>
        <v>14.75</v>
      </c>
      <c r="Q105" s="42">
        <f>P105/1000*D105</f>
        <v>0.14749999999999999</v>
      </c>
    </row>
    <row r="106" spans="1:17" ht="17" x14ac:dyDescent="0.2">
      <c r="B106" s="1" t="s">
        <v>213</v>
      </c>
      <c r="D106" s="7">
        <f>D104/2</f>
        <v>10</v>
      </c>
      <c r="E106" s="1">
        <f>D106*7</f>
        <v>70</v>
      </c>
      <c r="F106" s="7"/>
      <c r="G106" s="31">
        <f>'Price list REWE '!E103</f>
        <v>11.45</v>
      </c>
      <c r="H106" s="31">
        <f>G106/1000*D106</f>
        <v>0.1145</v>
      </c>
      <c r="J106" s="42">
        <f>'Price list REWE '!H103</f>
        <v>11.45</v>
      </c>
      <c r="K106" s="42">
        <f>J106/1000*D106</f>
        <v>0.1145</v>
      </c>
      <c r="M106" s="31">
        <f>'Price list ALDI Süd'!E103</f>
        <v>11.45</v>
      </c>
      <c r="N106" s="31">
        <f>M106/1000*D106</f>
        <v>0.1145</v>
      </c>
      <c r="P106" s="42">
        <f>'Price list ALDI Süd'!H103</f>
        <v>11.45</v>
      </c>
      <c r="Q106" s="42">
        <f>P106/1000*D106</f>
        <v>0.1145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5.44</v>
      </c>
      <c r="E108" s="8">
        <f>D108*7</f>
        <v>38.080000000000005</v>
      </c>
      <c r="F108" s="8">
        <f>60*C4</f>
        <v>48</v>
      </c>
    </row>
    <row r="109" spans="1:17" ht="17" x14ac:dyDescent="0.2">
      <c r="B109" s="1" t="s">
        <v>216</v>
      </c>
      <c r="D109" s="1">
        <f>D108</f>
        <v>5.44</v>
      </c>
      <c r="E109" s="1">
        <f>D109*7</f>
        <v>38.080000000000005</v>
      </c>
      <c r="G109" s="31">
        <f>'Price list REWE '!E106</f>
        <v>2.98</v>
      </c>
      <c r="H109" s="31">
        <f>G109/1000*D109</f>
        <v>1.6211200000000002E-2</v>
      </c>
      <c r="J109" s="42">
        <f>'Price list REWE '!H106</f>
        <v>7.16</v>
      </c>
      <c r="K109" s="42">
        <f>J109/1000*D109</f>
        <v>3.8950400000000003E-2</v>
      </c>
      <c r="M109" s="31">
        <f>'Price list ALDI Süd'!E106</f>
        <v>3.38</v>
      </c>
      <c r="N109" s="31">
        <f>M109/1000*D109</f>
        <v>1.8387199999999999E-2</v>
      </c>
      <c r="P109" s="42">
        <f>'Price list ALDI Süd'!H106</f>
        <v>7.16</v>
      </c>
      <c r="Q109" s="42">
        <f>P109/1000*D109</f>
        <v>3.8950400000000003E-2</v>
      </c>
    </row>
    <row r="110" spans="1:17" x14ac:dyDescent="0.2">
      <c r="A110" s="9">
        <v>1</v>
      </c>
      <c r="F110" s="7"/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32</v>
      </c>
      <c r="E111" s="8">
        <f>D111*7</f>
        <v>224</v>
      </c>
      <c r="F111" s="8">
        <f>354*C4</f>
        <v>283.2</v>
      </c>
    </row>
    <row r="112" spans="1:17" ht="17" x14ac:dyDescent="0.2">
      <c r="B112" s="1" t="s">
        <v>220</v>
      </c>
      <c r="D112" s="1">
        <f>$D$111/3</f>
        <v>10.666666666666666</v>
      </c>
      <c r="E112" s="7">
        <f>D112*7</f>
        <v>74.666666666666657</v>
      </c>
      <c r="G112" s="31">
        <f>'Price list REWE '!E109</f>
        <v>3.78</v>
      </c>
      <c r="H112" s="31">
        <f>G112/1000*D112</f>
        <v>4.0319999999999995E-2</v>
      </c>
      <c r="J112" s="42">
        <f>'Price list REWE '!H109</f>
        <v>3.5</v>
      </c>
      <c r="K112" s="42">
        <f>J112/1000*D112</f>
        <v>3.7333333333333329E-2</v>
      </c>
      <c r="M112" s="31">
        <f>'Price list ALDI Süd'!E109</f>
        <v>1.851</v>
      </c>
      <c r="N112" s="31">
        <f>M112/1000*D112</f>
        <v>1.9743999999999998E-2</v>
      </c>
      <c r="P112" s="42">
        <f>'Price list ALDI Süd'!H109</f>
        <v>3.7</v>
      </c>
      <c r="Q112" s="42">
        <f>P112/1000*D112</f>
        <v>3.9466666666666664E-2</v>
      </c>
    </row>
    <row r="113" spans="1:17" ht="17" x14ac:dyDescent="0.2">
      <c r="B113" s="1" t="s">
        <v>223</v>
      </c>
      <c r="D113" s="1">
        <f>$D$111/3</f>
        <v>10.666666666666666</v>
      </c>
      <c r="E113" s="1">
        <f>D113*7</f>
        <v>74.666666666666657</v>
      </c>
      <c r="F113" s="7"/>
      <c r="G113" s="31">
        <f>'Price list REWE '!E110</f>
        <v>8.99</v>
      </c>
      <c r="H113" s="31">
        <f>G113/1000*D113</f>
        <v>9.589333333333333E-2</v>
      </c>
      <c r="J113" s="42">
        <f>'Price list REWE '!H110</f>
        <v>14.58</v>
      </c>
      <c r="K113" s="42">
        <f>J113/1000*D113</f>
        <v>0.15551999999999999</v>
      </c>
      <c r="M113" s="31">
        <f>'Price list ALDI Süd'!E110</f>
        <v>7.99</v>
      </c>
      <c r="N113" s="31">
        <f>M113/1000*D113</f>
        <v>8.5226666666666673E-2</v>
      </c>
      <c r="P113" s="42">
        <f>'Price list ALDI Süd'!H110</f>
        <v>9.32</v>
      </c>
      <c r="Q113" s="42">
        <f>P113/1000*D113</f>
        <v>9.9413333333333326E-2</v>
      </c>
    </row>
    <row r="114" spans="1:17" ht="17" x14ac:dyDescent="0.2">
      <c r="B114" s="1" t="s">
        <v>226</v>
      </c>
      <c r="D114" s="1">
        <f>$D$111/3</f>
        <v>10.666666666666666</v>
      </c>
      <c r="E114" s="1">
        <f>D114*7</f>
        <v>74.666666666666657</v>
      </c>
      <c r="G114" s="31">
        <f>'Price list REWE '!E111</f>
        <v>10.36</v>
      </c>
      <c r="H114" s="31">
        <f>G114/1000*D114</f>
        <v>0.11050666666666666</v>
      </c>
      <c r="J114" s="42">
        <f>'Price list REWE '!H111</f>
        <v>15.96</v>
      </c>
      <c r="K114" s="42">
        <f>J114/1000*D114</f>
        <v>0.17024</v>
      </c>
      <c r="M114" s="31">
        <f>'Price list ALDI Süd'!E111</f>
        <v>6.76</v>
      </c>
      <c r="N114" s="31">
        <f>M114/1000*D114</f>
        <v>7.2106666666666652E-2</v>
      </c>
      <c r="P114" s="42">
        <f>'Price list ALDI Süd'!H111</f>
        <v>6.76</v>
      </c>
      <c r="Q114" s="42">
        <f>P114/1000*D114</f>
        <v>7.2106666666666652E-2</v>
      </c>
    </row>
    <row r="115" spans="1:17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28.8</v>
      </c>
    </row>
    <row r="117" spans="1:17" ht="17" x14ac:dyDescent="0.2">
      <c r="B117" s="1" t="s">
        <v>230</v>
      </c>
      <c r="D117" s="7">
        <f>5*C4</f>
        <v>4</v>
      </c>
      <c r="E117" s="7">
        <f>D117*7</f>
        <v>28</v>
      </c>
      <c r="G117" s="31">
        <f>'Price list REWE '!E114</f>
        <v>5.8</v>
      </c>
      <c r="H117" s="31">
        <f>G117/1000*D117</f>
        <v>2.3199999999999998E-2</v>
      </c>
      <c r="J117" s="42">
        <f>'Price list REWE '!H114</f>
        <v>11.96</v>
      </c>
      <c r="K117" s="42">
        <f>J117/1000*D117</f>
        <v>4.7840000000000001E-2</v>
      </c>
      <c r="M117" s="31">
        <f>'Price list ALDI Süd'!E114</f>
        <v>5.8</v>
      </c>
      <c r="N117" s="31">
        <f>M117/1000*D117</f>
        <v>2.3199999999999998E-2</v>
      </c>
      <c r="P117" s="42">
        <f>'Price list ALDI Süd'!H114</f>
        <v>11.96</v>
      </c>
      <c r="Q117" s="42">
        <f>P117/1000*D117</f>
        <v>4.7840000000000001E-2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9" customHeight="1" x14ac:dyDescent="0.2">
      <c r="A119" s="12" t="s">
        <v>414</v>
      </c>
      <c r="D119" s="4">
        <f>31*C4</f>
        <v>24.8</v>
      </c>
      <c r="E119" s="4">
        <f>D119*E10</f>
        <v>173.6</v>
      </c>
      <c r="F119" s="4">
        <f>120*C4</f>
        <v>96</v>
      </c>
    </row>
    <row r="120" spans="1:17" ht="17" x14ac:dyDescent="0.2">
      <c r="A120" s="188"/>
      <c r="B120" s="1" t="s">
        <v>234</v>
      </c>
      <c r="D120" s="1">
        <f>D119/3</f>
        <v>8.2666666666666675</v>
      </c>
      <c r="E120" s="1">
        <f>D120*7</f>
        <v>57.866666666666674</v>
      </c>
      <c r="G120" s="31">
        <f>'Price list REWE '!E117</f>
        <v>1.49</v>
      </c>
      <c r="H120" s="31">
        <f>G120/1000*D120</f>
        <v>1.2317333333333335E-2</v>
      </c>
      <c r="J120" s="42">
        <f>'Price list REWE '!H117</f>
        <v>2.59</v>
      </c>
      <c r="K120" s="42">
        <f>J120/1000*D120</f>
        <v>2.1410666666666668E-2</v>
      </c>
      <c r="M120" s="31">
        <f>'Price list ALDI Süd'!E117</f>
        <v>1.49</v>
      </c>
      <c r="N120" s="31">
        <f>M120/1000*D120</f>
        <v>1.2317333333333335E-2</v>
      </c>
      <c r="P120" s="42">
        <f>'Price list ALDI Süd'!H117</f>
        <v>2.59</v>
      </c>
      <c r="Q120" s="42">
        <f>P120/1000*D120</f>
        <v>2.1410666666666668E-2</v>
      </c>
    </row>
    <row r="121" spans="1:17" ht="17" x14ac:dyDescent="0.2">
      <c r="B121" s="1" t="s">
        <v>237</v>
      </c>
      <c r="D121" s="1">
        <f>D119/3</f>
        <v>8.2666666666666675</v>
      </c>
      <c r="E121" s="1">
        <f>D121*7</f>
        <v>57.866666666666674</v>
      </c>
      <c r="G121" s="31">
        <f>'Price list REWE '!E118</f>
        <v>5.9</v>
      </c>
      <c r="H121" s="31">
        <f>G121/1000*D121</f>
        <v>4.8773333333333342E-2</v>
      </c>
      <c r="J121" s="42">
        <f>'Price list REWE '!H118</f>
        <v>12.9</v>
      </c>
      <c r="K121" s="42">
        <f>J121/1000*D121</f>
        <v>0.10664000000000001</v>
      </c>
      <c r="M121" s="31">
        <f>'Price list ALDI Süd'!E118</f>
        <v>5.9</v>
      </c>
      <c r="N121" s="31">
        <f>M121/1000*D121</f>
        <v>4.8773333333333342E-2</v>
      </c>
      <c r="P121" s="42">
        <f>'Price list ALDI Süd'!H118</f>
        <v>12.9</v>
      </c>
      <c r="Q121" s="42">
        <f>P121/1000*D121</f>
        <v>0.10664000000000001</v>
      </c>
    </row>
    <row r="122" spans="1:17" ht="17" x14ac:dyDescent="0.2">
      <c r="B122" s="1" t="s">
        <v>240</v>
      </c>
      <c r="D122" s="1">
        <f>D119/3</f>
        <v>8.2666666666666675</v>
      </c>
      <c r="E122" s="1">
        <f>D122*7</f>
        <v>57.866666666666674</v>
      </c>
      <c r="G122" s="31">
        <f>'Price list REWE '!E119</f>
        <v>3.66</v>
      </c>
      <c r="H122" s="31">
        <f>G122/1000*D122</f>
        <v>3.0256000000000005E-2</v>
      </c>
      <c r="J122" s="42">
        <f>'Price list REWE '!H119</f>
        <v>14.9</v>
      </c>
      <c r="K122" s="42">
        <f>J122/1000*D122</f>
        <v>0.12317333333333334</v>
      </c>
      <c r="M122" s="31">
        <f>'Price list ALDI Süd'!E119</f>
        <v>3.96</v>
      </c>
      <c r="N122" s="31">
        <f>M122/1000*D122</f>
        <v>3.2736000000000001E-2</v>
      </c>
      <c r="P122" s="42">
        <f>'Price list ALDI Süd'!H119</f>
        <v>9.4499999999999993</v>
      </c>
      <c r="Q122" s="42">
        <f>P122/1000*D122</f>
        <v>7.8120000000000009E-2</v>
      </c>
    </row>
    <row r="123" spans="1:17" x14ac:dyDescent="0.2">
      <c r="A123" s="9">
        <v>3</v>
      </c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1200</v>
      </c>
      <c r="E124" s="4">
        <f>D124*E10</f>
        <v>8400</v>
      </c>
    </row>
    <row r="125" spans="1:17" ht="17" x14ac:dyDescent="0.2">
      <c r="B125" s="1" t="s">
        <v>415</v>
      </c>
      <c r="D125" s="1">
        <f>D124-D126</f>
        <v>800</v>
      </c>
      <c r="E125" s="1">
        <f>D125*7</f>
        <v>5600</v>
      </c>
      <c r="G125" s="31">
        <f>'Price list REWE '!E129</f>
        <v>0.18</v>
      </c>
      <c r="H125" s="31">
        <f>G125/1000*D125</f>
        <v>0.14399999999999999</v>
      </c>
      <c r="J125" s="42">
        <f>'Price list REWE '!H122</f>
        <v>0.18</v>
      </c>
      <c r="K125" s="42">
        <f>J125/1000*D125</f>
        <v>0.14399999999999999</v>
      </c>
      <c r="M125" s="31">
        <f>'Price list ALDI Süd'!E122</f>
        <v>0.18</v>
      </c>
      <c r="N125" s="31">
        <f>M125/1000*D125</f>
        <v>0.14399999999999999</v>
      </c>
      <c r="P125" s="42">
        <f>'Price list ALDI Süd'!H122</f>
        <v>0.18</v>
      </c>
      <c r="Q125" s="42">
        <f>P125/1000*D125</f>
        <v>0.14399999999999999</v>
      </c>
    </row>
    <row r="126" spans="1:17" ht="17" x14ac:dyDescent="0.2">
      <c r="B126" s="1" t="s">
        <v>417</v>
      </c>
      <c r="D126" s="1">
        <v>400</v>
      </c>
      <c r="E126" s="1">
        <f>D126*7</f>
        <v>2800</v>
      </c>
      <c r="G126" s="31">
        <f>'Price list REWE '!E130</f>
        <v>12.27</v>
      </c>
      <c r="H126" s="31">
        <f>G126/1000*(56/25)*2</f>
        <v>5.49696E-2</v>
      </c>
      <c r="J126" s="42">
        <f>'Price list REWE '!H124</f>
        <v>67.25</v>
      </c>
      <c r="K126" s="42">
        <f>J126/1000*(40/20)*2</f>
        <v>0.26900000000000002</v>
      </c>
      <c r="M126" s="31">
        <f>'Price list ALDI Süd'!E124</f>
        <v>12.27</v>
      </c>
      <c r="N126" s="31">
        <f>M126/1000*(56.25/25)*2</f>
        <v>5.5215E-2</v>
      </c>
      <c r="P126" s="42">
        <f>'Price list ALDI Süd'!H124</f>
        <v>67.25</v>
      </c>
      <c r="Q126" s="42">
        <f>P126/1000*(40/20)*2</f>
        <v>0.26900000000000002</v>
      </c>
    </row>
    <row r="127" spans="1:17" ht="17" x14ac:dyDescent="0.2">
      <c r="B127" s="1" t="s">
        <v>420</v>
      </c>
      <c r="D127" s="1">
        <f>E127/7</f>
        <v>28.571428571428573</v>
      </c>
      <c r="E127" s="1">
        <v>200</v>
      </c>
      <c r="G127" s="31">
        <f>'Price list REWE '!E131</f>
        <v>0.39</v>
      </c>
      <c r="H127" s="31">
        <f>G127/1000*D127</f>
        <v>1.1142857142857144E-2</v>
      </c>
      <c r="J127" s="42">
        <f>'Price list REWE '!H131</f>
        <v>3.79</v>
      </c>
      <c r="K127" s="42">
        <f>J127/1000*D127</f>
        <v>0.10828571428571429</v>
      </c>
      <c r="M127" s="31">
        <f>'Price list ALDI Süd'!E131</f>
        <v>0.39</v>
      </c>
      <c r="N127" s="31">
        <f>M127/1000*D127</f>
        <v>1.1142857142857144E-2</v>
      </c>
      <c r="P127" s="42">
        <f>'Price list ALDI Süd'!H131</f>
        <v>3.79</v>
      </c>
      <c r="Q127" s="42">
        <f>P127/1000*D127</f>
        <v>0.10828571428571429</v>
      </c>
    </row>
    <row r="128" spans="1:17" ht="17" x14ac:dyDescent="0.2">
      <c r="B128" s="1" t="s">
        <v>421</v>
      </c>
      <c r="D128" s="1">
        <f>E128/7</f>
        <v>28.571428571428573</v>
      </c>
      <c r="E128" s="1">
        <v>200</v>
      </c>
      <c r="G128" s="31">
        <f>'Price list REWE '!E132</f>
        <v>1.29</v>
      </c>
      <c r="H128" s="31">
        <f>G128/1000*D128</f>
        <v>3.6857142857142866E-2</v>
      </c>
      <c r="J128" s="42">
        <f>'Price list REWE '!H132</f>
        <v>2.39</v>
      </c>
      <c r="K128" s="42">
        <f>J128/1000*D128</f>
        <v>6.8285714285714297E-2</v>
      </c>
      <c r="M128" s="31">
        <f>'Price list ALDI Süd'!E132</f>
        <v>1.29</v>
      </c>
      <c r="N128" s="31">
        <f>M128/1000*D128</f>
        <v>3.6857142857142866E-2</v>
      </c>
      <c r="P128" s="42">
        <f>'Price list ALDI Süd'!H132</f>
        <v>3.32</v>
      </c>
      <c r="Q128" s="42">
        <f>P128/1000*D128</f>
        <v>9.4857142857142862E-2</v>
      </c>
    </row>
    <row r="129" spans="1:19" x14ac:dyDescent="0.2">
      <c r="A129" s="9">
        <v>4</v>
      </c>
      <c r="H129" s="93"/>
      <c r="I129" s="93"/>
      <c r="J129" s="93"/>
      <c r="K129" s="93"/>
      <c r="L129" s="93"/>
      <c r="M129" s="93"/>
      <c r="N129" s="93"/>
      <c r="O129" s="93"/>
      <c r="P129" s="93"/>
      <c r="Q129" s="93"/>
    </row>
    <row r="130" spans="1:19" x14ac:dyDescent="0.2">
      <c r="G130" s="86"/>
      <c r="R130" s="147"/>
    </row>
    <row r="131" spans="1:19" s="4" customFormat="1" ht="17" x14ac:dyDescent="0.2">
      <c r="A131" s="185" t="s">
        <v>431</v>
      </c>
      <c r="F131" s="12" t="s">
        <v>423</v>
      </c>
      <c r="G131" s="91"/>
      <c r="H131" s="185" t="s">
        <v>432</v>
      </c>
      <c r="I131" s="81"/>
      <c r="J131" s="81"/>
      <c r="K131" s="185" t="s">
        <v>432</v>
      </c>
      <c r="L131" s="220"/>
      <c r="M131" s="220"/>
      <c r="N131" s="185" t="s">
        <v>432</v>
      </c>
      <c r="O131" s="220"/>
      <c r="P131" s="220"/>
      <c r="Q131" s="185" t="s">
        <v>432</v>
      </c>
      <c r="R131" s="255"/>
      <c r="S131" s="92"/>
    </row>
    <row r="132" spans="1:19" ht="17" x14ac:dyDescent="0.2">
      <c r="A132" s="274">
        <f>A129+A123+A118+A115+A107+A103+A99+A95+A87+A82+A79+A76+A73+A70+A59+A47+A40+A20+A17+A32+A110</f>
        <v>74</v>
      </c>
      <c r="B132" s="65"/>
      <c r="D132" s="9"/>
      <c r="E132" s="9"/>
      <c r="F132" s="23">
        <f>F119+F116+F111+F108+F104+F101+F96+F88+F83+F80+F77+F74+F71+F60+F48+F41+F33+F23+F18+F11</f>
        <v>2002.4000000000005</v>
      </c>
      <c r="G132" s="86"/>
      <c r="H132" s="23" t="s">
        <v>433</v>
      </c>
      <c r="I132" s="23"/>
      <c r="J132" s="23"/>
      <c r="K132" s="23" t="s">
        <v>433</v>
      </c>
      <c r="L132" s="23"/>
      <c r="M132" s="23"/>
      <c r="N132" s="23" t="s">
        <v>433</v>
      </c>
      <c r="O132" s="23"/>
      <c r="P132" s="23"/>
      <c r="Q132" s="23" t="s">
        <v>433</v>
      </c>
      <c r="R132" s="23"/>
      <c r="S132" s="65"/>
    </row>
    <row r="133" spans="1:19" x14ac:dyDescent="0.2">
      <c r="A133" s="148"/>
      <c r="E133" s="86"/>
      <c r="G133" s="115"/>
      <c r="H133" s="23">
        <f>SUM(H12:H128)</f>
        <v>3.9051794053162401</v>
      </c>
      <c r="I133" s="23"/>
      <c r="J133" s="23"/>
      <c r="K133" s="23">
        <f>SUM(K12:K128)</f>
        <v>6.5410319428921637</v>
      </c>
      <c r="L133" s="23"/>
      <c r="M133" s="23"/>
      <c r="N133" s="23">
        <f>SUM(N12:N128)</f>
        <v>3.7941542337508043</v>
      </c>
      <c r="O133" s="23"/>
      <c r="P133" s="23"/>
      <c r="Q133" s="23">
        <f>SUM(Q12:Q128)</f>
        <v>5.7850400354842444</v>
      </c>
      <c r="R133" s="23"/>
      <c r="S133" s="65"/>
    </row>
    <row r="134" spans="1:19" x14ac:dyDescent="0.2">
      <c r="F134" s="94"/>
      <c r="G134" s="86"/>
      <c r="H134" s="23"/>
      <c r="I134" s="84"/>
      <c r="J134" s="84"/>
      <c r="K134" s="23"/>
      <c r="L134" s="23"/>
      <c r="M134" s="23"/>
      <c r="N134" s="23"/>
      <c r="O134" s="23"/>
      <c r="P134" s="23"/>
      <c r="Q134" s="23"/>
      <c r="R134" s="84"/>
      <c r="S134" s="65"/>
    </row>
    <row r="135" spans="1:19" ht="17" x14ac:dyDescent="0.2">
      <c r="G135" s="86"/>
      <c r="H135" s="84" t="s">
        <v>434</v>
      </c>
      <c r="I135" s="84"/>
      <c r="J135" s="84"/>
      <c r="K135" s="84" t="s">
        <v>434</v>
      </c>
      <c r="L135" s="84"/>
      <c r="M135" s="84"/>
      <c r="N135" s="84" t="s">
        <v>434</v>
      </c>
      <c r="O135" s="84"/>
      <c r="P135" s="84"/>
      <c r="Q135" s="84" t="s">
        <v>434</v>
      </c>
      <c r="R135" s="221"/>
    </row>
    <row r="136" spans="1:19" x14ac:dyDescent="0.2">
      <c r="G136" s="86"/>
      <c r="H136" s="84">
        <f>H133*30</f>
        <v>117.1553821594872</v>
      </c>
      <c r="I136" s="23"/>
      <c r="J136" s="23"/>
      <c r="K136" s="84">
        <f>K133*30</f>
        <v>196.23095828676492</v>
      </c>
      <c r="L136" s="84"/>
      <c r="M136" s="84"/>
      <c r="N136" s="84">
        <f>N133*30</f>
        <v>113.82462701252413</v>
      </c>
      <c r="O136" s="84"/>
      <c r="P136" s="84"/>
      <c r="Q136" s="84">
        <f>Q133*30</f>
        <v>173.55120106452733</v>
      </c>
      <c r="R136" s="65"/>
    </row>
    <row r="137" spans="1:19" x14ac:dyDescent="0.2">
      <c r="H137" s="94"/>
      <c r="I137" s="94"/>
      <c r="J137" s="94"/>
      <c r="K137" s="94"/>
      <c r="L137" s="94"/>
      <c r="M137" s="94"/>
      <c r="N137" s="94"/>
      <c r="O137" s="94"/>
      <c r="P137" s="94"/>
      <c r="Q137" s="94"/>
    </row>
  </sheetData>
  <mergeCells count="9">
    <mergeCell ref="M7:N8"/>
    <mergeCell ref="P7:Q8"/>
    <mergeCell ref="G7:H8"/>
    <mergeCell ref="J7:K8"/>
    <mergeCell ref="A1:Q1"/>
    <mergeCell ref="A2:Q2"/>
    <mergeCell ref="A4:B4"/>
    <mergeCell ref="G5:K6"/>
    <mergeCell ref="M5:Q6"/>
  </mergeCells>
  <pageMargins left="0.7" right="0.7" top="0.78740157499999996" bottom="0.78740157499999996" header="0.3" footer="0.3"/>
  <pageSetup paperSize="9" scale="31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55547-3230-914A-AB42-776C9506BC34}">
  <sheetPr codeName="Tabelle3">
    <tabColor rgb="FFE1CFF3"/>
    <pageSetUpPr fitToPage="1"/>
  </sheetPr>
  <dimension ref="A1:S137"/>
  <sheetViews>
    <sheetView topLeftCell="D1" zoomScale="75" zoomScaleNormal="80" workbookViewId="0">
      <pane ySplit="8" topLeftCell="A112" activePane="bottomLeft" state="frozen"/>
      <selection activeCell="D1" sqref="D1"/>
      <selection pane="bottomLeft" activeCell="N125" sqref="N125"/>
    </sheetView>
  </sheetViews>
  <sheetFormatPr baseColWidth="10" defaultColWidth="10.83203125" defaultRowHeight="16" x14ac:dyDescent="0.2"/>
  <cols>
    <col min="1" max="1" width="24.6640625" style="9" customWidth="1"/>
    <col min="2" max="2" width="28.6640625" style="1" customWidth="1"/>
    <col min="3" max="3" width="12.6640625" style="1" customWidth="1"/>
    <col min="4" max="4" width="19.33203125" style="1" customWidth="1"/>
    <col min="5" max="5" width="22.5" style="1" customWidth="1"/>
    <col min="6" max="6" width="15.1640625" style="1" customWidth="1"/>
    <col min="7" max="7" width="16" style="1" customWidth="1"/>
    <col min="8" max="8" width="18.1640625" style="1" customWidth="1"/>
    <col min="9" max="10" width="15.5" style="1" customWidth="1"/>
    <col min="11" max="11" width="17.83203125" style="1" customWidth="1"/>
    <col min="12" max="12" width="15.6640625" style="1" customWidth="1"/>
    <col min="13" max="13" width="15.33203125" style="1" customWidth="1"/>
    <col min="14" max="14" width="15.1640625" style="1" customWidth="1"/>
    <col min="15" max="15" width="10.83203125" style="1"/>
    <col min="16" max="16" width="14.83203125" style="1" customWidth="1"/>
    <col min="17" max="17" width="17.33203125" style="1" customWidth="1"/>
    <col min="18" max="16384" width="10.83203125" style="1"/>
  </cols>
  <sheetData>
    <row r="1" spans="1:17" s="349" customFormat="1" ht="20" customHeight="1" x14ac:dyDescent="0.2">
      <c r="A1" s="420" t="s">
        <v>631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s="349" customFormat="1" ht="27" customHeight="1" x14ac:dyDescent="0.2">
      <c r="A2" s="420" t="s">
        <v>435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ht="17" customHeight="1" x14ac:dyDescent="0.2">
      <c r="D3" s="114"/>
      <c r="E3" s="90"/>
      <c r="F3" s="13"/>
    </row>
    <row r="4" spans="1:17" ht="16" customHeight="1" x14ac:dyDescent="0.2">
      <c r="A4" s="430" t="s">
        <v>426</v>
      </c>
      <c r="B4" s="431"/>
      <c r="C4" s="9">
        <f>2200/2500</f>
        <v>0.88</v>
      </c>
      <c r="E4" s="9"/>
      <c r="F4" s="13"/>
      <c r="G4" s="424" t="s">
        <v>427</v>
      </c>
      <c r="H4" s="425"/>
      <c r="I4" s="425"/>
      <c r="J4" s="425"/>
      <c r="K4" s="426"/>
      <c r="M4" s="424" t="s">
        <v>428</v>
      </c>
      <c r="N4" s="425"/>
      <c r="O4" s="425"/>
      <c r="P4" s="425"/>
      <c r="Q4" s="426"/>
    </row>
    <row r="5" spans="1:17" ht="19" customHeight="1" x14ac:dyDescent="0.2">
      <c r="B5" s="9"/>
      <c r="C5" s="3"/>
      <c r="F5" s="13"/>
      <c r="G5" s="427"/>
      <c r="H5" s="428"/>
      <c r="I5" s="428"/>
      <c r="J5" s="428"/>
      <c r="K5" s="429"/>
      <c r="M5" s="427"/>
      <c r="N5" s="428"/>
      <c r="O5" s="428"/>
      <c r="P5" s="428"/>
      <c r="Q5" s="429"/>
    </row>
    <row r="6" spans="1:17" ht="16" customHeight="1" x14ac:dyDescent="0.2">
      <c r="B6" s="9"/>
      <c r="C6" s="3"/>
      <c r="G6" s="412" t="s">
        <v>15</v>
      </c>
      <c r="H6" s="413"/>
      <c r="I6" s="116"/>
      <c r="J6" s="416" t="s">
        <v>16</v>
      </c>
      <c r="K6" s="417"/>
      <c r="M6" s="412" t="s">
        <v>15</v>
      </c>
      <c r="N6" s="413"/>
      <c r="O6" s="116"/>
      <c r="P6" s="416" t="s">
        <v>16</v>
      </c>
      <c r="Q6" s="417"/>
    </row>
    <row r="7" spans="1:17" ht="16" customHeight="1" x14ac:dyDescent="0.2">
      <c r="G7" s="414"/>
      <c r="H7" s="415"/>
      <c r="J7" s="418"/>
      <c r="K7" s="419"/>
      <c r="M7" s="414"/>
      <c r="N7" s="415"/>
      <c r="P7" s="418"/>
      <c r="Q7" s="419"/>
    </row>
    <row r="8" spans="1:17" s="12" customFormat="1" ht="34" customHeight="1" x14ac:dyDescent="0.2">
      <c r="A8" s="12" t="s">
        <v>17</v>
      </c>
      <c r="B8" s="12" t="s">
        <v>18</v>
      </c>
      <c r="C8" s="12" t="s">
        <v>386</v>
      </c>
      <c r="D8" s="12" t="s">
        <v>387</v>
      </c>
      <c r="E8" s="12" t="s">
        <v>388</v>
      </c>
      <c r="F8" s="12" t="s">
        <v>436</v>
      </c>
      <c r="G8" s="79" t="s">
        <v>21</v>
      </c>
      <c r="H8" s="79" t="s">
        <v>430</v>
      </c>
      <c r="I8" s="62"/>
      <c r="J8" s="80" t="s">
        <v>21</v>
      </c>
      <c r="K8" s="80" t="s">
        <v>430</v>
      </c>
      <c r="L8" s="62"/>
      <c r="M8" s="79" t="s">
        <v>21</v>
      </c>
      <c r="N8" s="79" t="s">
        <v>430</v>
      </c>
      <c r="O8" s="62"/>
      <c r="P8" s="80" t="s">
        <v>21</v>
      </c>
      <c r="Q8" s="80" t="s">
        <v>430</v>
      </c>
    </row>
    <row r="9" spans="1:17" s="9" customFormat="1" x14ac:dyDescent="0.2">
      <c r="E9" s="9">
        <v>7</v>
      </c>
      <c r="G9" s="30"/>
      <c r="H9" s="30"/>
      <c r="J9" s="41"/>
      <c r="K9" s="41"/>
    </row>
    <row r="10" spans="1:17" s="4" customFormat="1" ht="18" customHeight="1" x14ac:dyDescent="0.2">
      <c r="A10" s="12" t="s">
        <v>390</v>
      </c>
      <c r="B10" s="12" t="s">
        <v>23</v>
      </c>
      <c r="D10" s="4">
        <f>232*C4</f>
        <v>204.16</v>
      </c>
      <c r="E10" s="4">
        <f>D10*$E$9</f>
        <v>1429.12</v>
      </c>
      <c r="F10" s="4">
        <f>811*C4</f>
        <v>713.68</v>
      </c>
    </row>
    <row r="11" spans="1:17" ht="19" customHeight="1" x14ac:dyDescent="0.2">
      <c r="B11" s="1" t="s">
        <v>24</v>
      </c>
      <c r="D11" s="1">
        <f>30*C4</f>
        <v>26.4</v>
      </c>
      <c r="E11" s="1">
        <f t="shared" ref="E11:E15" si="0">D11*$E$9</f>
        <v>184.79999999999998</v>
      </c>
      <c r="G11" s="31">
        <f>'Price list REWE '!E9</f>
        <v>2.89</v>
      </c>
      <c r="H11" s="31">
        <f>G11/1000*D11</f>
        <v>7.6296000000000003E-2</v>
      </c>
      <c r="J11" s="42">
        <f>'Price list REWE '!H9</f>
        <v>2.89</v>
      </c>
      <c r="K11" s="42">
        <f>J11/1000*D11</f>
        <v>7.6296000000000003E-2</v>
      </c>
      <c r="M11" s="31">
        <f>'Price list ALDI Süd'!E9</f>
        <v>2.89</v>
      </c>
      <c r="N11" s="31">
        <f>M11/1000*D11</f>
        <v>7.6296000000000003E-2</v>
      </c>
      <c r="P11" s="42">
        <f>'Price list ALDI Süd'!H9</f>
        <v>2.89</v>
      </c>
      <c r="Q11" s="42">
        <f>P11/1000*D11</f>
        <v>7.6296000000000003E-2</v>
      </c>
    </row>
    <row r="12" spans="1:17" ht="17" x14ac:dyDescent="0.2">
      <c r="B12" s="1" t="s">
        <v>27</v>
      </c>
      <c r="D12" s="1">
        <f>50*C4</f>
        <v>44</v>
      </c>
      <c r="E12" s="1">
        <f t="shared" si="0"/>
        <v>308</v>
      </c>
      <c r="G12" s="31">
        <f>'Price list REWE '!E10</f>
        <v>1.58</v>
      </c>
      <c r="H12" s="31">
        <f>G12/1000*D12</f>
        <v>6.9519999999999998E-2</v>
      </c>
      <c r="J12" s="42">
        <f>'Price list REWE '!H10</f>
        <v>4.38</v>
      </c>
      <c r="K12" s="42">
        <f>J12/1000*D12</f>
        <v>0.19272</v>
      </c>
      <c r="M12" s="31">
        <f>'Price list ALDI Süd'!E10</f>
        <v>3.48</v>
      </c>
      <c r="N12" s="31">
        <f>M12/1000*D12</f>
        <v>0.15312000000000001</v>
      </c>
      <c r="P12" s="42">
        <f>'Price list ALDI Süd'!H10</f>
        <v>4.38</v>
      </c>
      <c r="Q12" s="42">
        <f>P12/1000*D12</f>
        <v>0.19272</v>
      </c>
    </row>
    <row r="13" spans="1:17" ht="17" x14ac:dyDescent="0.2">
      <c r="B13" s="1" t="s">
        <v>30</v>
      </c>
      <c r="D13" s="1">
        <f>50*C4</f>
        <v>44</v>
      </c>
      <c r="E13" s="1">
        <f t="shared" si="0"/>
        <v>308</v>
      </c>
      <c r="G13" s="31">
        <f>'Price list REWE '!E11</f>
        <v>2.13</v>
      </c>
      <c r="H13" s="31">
        <f>G13/1000*D13</f>
        <v>9.3719999999999998E-2</v>
      </c>
      <c r="J13" s="42">
        <f>'Price list REWE '!H11</f>
        <v>4.25</v>
      </c>
      <c r="K13" s="42">
        <f>J13/1000*D13</f>
        <v>0.187</v>
      </c>
      <c r="M13" s="31">
        <f>'Price list ALDI Süd'!E11</f>
        <v>2.84</v>
      </c>
      <c r="N13" s="31">
        <f>M13/1000*D13</f>
        <v>0.12495999999999999</v>
      </c>
      <c r="P13" s="42">
        <f>'Price list ALDI Süd'!H11</f>
        <v>5.25</v>
      </c>
      <c r="Q13" s="42">
        <f>P13/1000*D13</f>
        <v>0.23100000000000001</v>
      </c>
    </row>
    <row r="14" spans="1:17" ht="17" x14ac:dyDescent="0.2">
      <c r="B14" s="1" t="s">
        <v>33</v>
      </c>
      <c r="D14" s="1">
        <f>40*C4</f>
        <v>35.200000000000003</v>
      </c>
      <c r="E14" s="1">
        <f>D14*$E$9</f>
        <v>246.40000000000003</v>
      </c>
      <c r="G14" s="31">
        <f>'Price list REWE '!E12</f>
        <v>1.58</v>
      </c>
      <c r="H14" s="31">
        <f>G14/1000*D14</f>
        <v>5.5616000000000006E-2</v>
      </c>
      <c r="J14" s="42">
        <f>'Price list REWE '!H12</f>
        <v>1.98</v>
      </c>
      <c r="K14" s="42">
        <f>J14/1000*D14</f>
        <v>6.9696000000000008E-2</v>
      </c>
      <c r="M14" s="31">
        <f>'Price list ALDI Süd'!E12</f>
        <v>1.58</v>
      </c>
      <c r="N14" s="31">
        <f>M14/1000*D14</f>
        <v>5.5616000000000006E-2</v>
      </c>
      <c r="P14" s="42">
        <f>'Price list ALDI Süd'!H12</f>
        <v>1.9</v>
      </c>
      <c r="Q14" s="42">
        <f>P14/1000*D14</f>
        <v>6.6880000000000009E-2</v>
      </c>
    </row>
    <row r="15" spans="1:17" ht="17" x14ac:dyDescent="0.2">
      <c r="B15" s="1" t="s">
        <v>36</v>
      </c>
      <c r="D15" s="1">
        <f>62*C4</f>
        <v>54.56</v>
      </c>
      <c r="E15" s="1">
        <f t="shared" si="0"/>
        <v>381.92</v>
      </c>
      <c r="G15" s="31">
        <f>'Price list REWE '!E13</f>
        <v>3.58</v>
      </c>
      <c r="H15" s="31">
        <f>G15/1000*D15</f>
        <v>0.19532480000000002</v>
      </c>
      <c r="J15" s="42">
        <f>'Price list REWE '!H13</f>
        <v>2.98</v>
      </c>
      <c r="K15" s="42">
        <f>J15/1000*D15</f>
        <v>0.16258880000000001</v>
      </c>
      <c r="M15" s="31">
        <f>'Price list ALDI Süd'!E13</f>
        <v>2.98</v>
      </c>
      <c r="N15" s="31">
        <f>M15/1000*D15</f>
        <v>0.16258880000000001</v>
      </c>
      <c r="P15" s="42">
        <f>'Price list ALDI Süd'!H13</f>
        <v>2.98</v>
      </c>
      <c r="Q15" s="42">
        <f>P15/1000*D15</f>
        <v>0.16258880000000001</v>
      </c>
    </row>
    <row r="16" spans="1:17" x14ac:dyDescent="0.2">
      <c r="A16" s="9">
        <v>5</v>
      </c>
      <c r="G16" s="31"/>
      <c r="H16" s="31"/>
      <c r="J16" s="42"/>
      <c r="K16" s="42"/>
      <c r="M16" s="31"/>
      <c r="N16" s="31"/>
      <c r="P16" s="42"/>
      <c r="Q16" s="42"/>
    </row>
    <row r="17" spans="1:17" s="4" customFormat="1" ht="17" customHeight="1" x14ac:dyDescent="0.2">
      <c r="A17" s="12" t="s">
        <v>39</v>
      </c>
      <c r="B17" s="12" t="s">
        <v>40</v>
      </c>
      <c r="D17" s="4">
        <f>50*C4</f>
        <v>44</v>
      </c>
      <c r="E17" s="4">
        <f>D17*$E$9</f>
        <v>308</v>
      </c>
      <c r="F17" s="4">
        <f>39*C4</f>
        <v>34.32</v>
      </c>
      <c r="G17" s="12"/>
    </row>
    <row r="18" spans="1:17" ht="17" x14ac:dyDescent="0.2">
      <c r="B18" s="1" t="s">
        <v>41</v>
      </c>
      <c r="D18" s="1">
        <f>50*C4</f>
        <v>44</v>
      </c>
      <c r="E18" s="1">
        <f>D18*E9</f>
        <v>308</v>
      </c>
      <c r="G18" s="31">
        <f>'Price list REWE '!$E$16</f>
        <v>0.92</v>
      </c>
      <c r="H18" s="31">
        <f>G18/1000*D18</f>
        <v>4.0480000000000002E-2</v>
      </c>
      <c r="J18" s="42">
        <f>'Price list REWE '!H16</f>
        <v>1.53</v>
      </c>
      <c r="K18" s="42">
        <f>J18/1000*D18</f>
        <v>6.7320000000000005E-2</v>
      </c>
      <c r="M18" s="31">
        <f>'Price list ALDI Süd'!E16</f>
        <v>0.96</v>
      </c>
      <c r="N18" s="31">
        <f>M18/1000*D18</f>
        <v>4.224E-2</v>
      </c>
      <c r="P18" s="42">
        <f>'Price list ALDI Süd'!H16</f>
        <v>1.46</v>
      </c>
      <c r="Q18" s="42">
        <f>P18/1000*D18</f>
        <v>6.4239999999999992E-2</v>
      </c>
    </row>
    <row r="19" spans="1:17" x14ac:dyDescent="0.2">
      <c r="A19" s="9">
        <v>1</v>
      </c>
      <c r="G19" s="31"/>
      <c r="H19" s="31"/>
      <c r="J19" s="42"/>
      <c r="K19" s="42"/>
      <c r="M19" s="31"/>
      <c r="N19" s="31"/>
      <c r="P19" s="42"/>
      <c r="Q19" s="42"/>
    </row>
    <row r="20" spans="1:17" s="4" customFormat="1" ht="17" x14ac:dyDescent="0.2">
      <c r="A20" s="12" t="s">
        <v>391</v>
      </c>
      <c r="D20" s="4">
        <f>300*C4</f>
        <v>264</v>
      </c>
      <c r="E20" s="4">
        <f>D20*$E$9</f>
        <v>1848</v>
      </c>
    </row>
    <row r="21" spans="1:17" x14ac:dyDescent="0.2">
      <c r="A21" s="3"/>
      <c r="C21" s="5"/>
      <c r="G21" s="31"/>
      <c r="H21" s="31"/>
      <c r="J21" s="42"/>
      <c r="K21" s="42"/>
      <c r="M21" s="31"/>
      <c r="N21" s="31"/>
      <c r="P21" s="42"/>
      <c r="Q21" s="42"/>
    </row>
    <row r="22" spans="1:17" s="4" customFormat="1" ht="17" x14ac:dyDescent="0.2">
      <c r="A22" s="12"/>
      <c r="B22" s="12" t="s">
        <v>45</v>
      </c>
      <c r="D22" s="4">
        <f>100*C4</f>
        <v>88</v>
      </c>
      <c r="E22" s="4">
        <f>D22*7</f>
        <v>616</v>
      </c>
      <c r="F22" s="4">
        <f>23*C4</f>
        <v>20.239999999999998</v>
      </c>
      <c r="G22" s="12"/>
    </row>
    <row r="23" spans="1:17" ht="17" x14ac:dyDescent="0.2">
      <c r="B23" s="16" t="s">
        <v>392</v>
      </c>
      <c r="C23" s="340">
        <v>8.1854823894030371E-2</v>
      </c>
      <c r="D23" s="6">
        <f>C23*$D$22</f>
        <v>7.2032245026746722</v>
      </c>
      <c r="E23" s="1">
        <f>D23*7</f>
        <v>50.422571518722705</v>
      </c>
      <c r="G23" s="32">
        <f>'Price list REWE '!E21</f>
        <v>3.0944625407166124</v>
      </c>
      <c r="H23" s="31">
        <f t="shared" ref="H23:H30" si="1">G23/1000*D23</f>
        <v>2.2290108395898824E-2</v>
      </c>
      <c r="J23" s="42">
        <f>'Price list REWE '!H21</f>
        <v>3.0944625407166124</v>
      </c>
      <c r="K23" s="42">
        <f t="shared" ref="K23:K30" si="2">J23/1000*D23</f>
        <v>2.2290108395898824E-2</v>
      </c>
      <c r="M23" s="31">
        <f>'Price list ALDI Süd'!E21</f>
        <v>2.2475570032573291</v>
      </c>
      <c r="N23" s="31">
        <f t="shared" ref="N23:N30" si="3">M23/1000*D23</f>
        <v>1.6189657677021251E-2</v>
      </c>
      <c r="P23" s="42">
        <f>'Price list ALDI Süd'!H21</f>
        <v>2.2475570032573291</v>
      </c>
      <c r="Q23" s="42">
        <f t="shared" ref="Q23:Q30" si="4">P23/1000*D23</f>
        <v>1.6189657677021251E-2</v>
      </c>
    </row>
    <row r="24" spans="1:17" ht="17" x14ac:dyDescent="0.2">
      <c r="B24" s="16" t="s">
        <v>393</v>
      </c>
      <c r="C24" s="340">
        <v>4.183137662165242E-2</v>
      </c>
      <c r="D24" s="6">
        <f t="shared" ref="D24:D30" si="5">C24*$D$22</f>
        <v>3.6811611427054132</v>
      </c>
      <c r="E24" s="1">
        <f t="shared" ref="E24:E30" si="6">D24*7</f>
        <v>25.768127998937892</v>
      </c>
      <c r="G24" s="32">
        <f>'Price list REWE '!E22</f>
        <v>2.875</v>
      </c>
      <c r="H24" s="31">
        <f t="shared" si="1"/>
        <v>1.0583338285278063E-2</v>
      </c>
      <c r="J24" s="42">
        <f>'Price list REWE '!H22</f>
        <v>5.98</v>
      </c>
      <c r="K24" s="42">
        <f t="shared" si="2"/>
        <v>2.2013343633378372E-2</v>
      </c>
      <c r="M24" s="31">
        <f>'Price list ALDI Süd'!E22</f>
        <v>2.875</v>
      </c>
      <c r="N24" s="31">
        <f t="shared" si="3"/>
        <v>1.0583338285278063E-2</v>
      </c>
      <c r="P24" s="42">
        <f>'Price list ALDI Süd'!H22</f>
        <v>11.96</v>
      </c>
      <c r="Q24" s="42">
        <f t="shared" si="4"/>
        <v>4.4026687266756744E-2</v>
      </c>
    </row>
    <row r="25" spans="1:17" ht="17" x14ac:dyDescent="0.2">
      <c r="B25" s="16" t="s">
        <v>51</v>
      </c>
      <c r="C25" s="340">
        <v>5.5140886754685689E-2</v>
      </c>
      <c r="D25" s="6">
        <f t="shared" si="5"/>
        <v>4.8523980344123405</v>
      </c>
      <c r="E25" s="1">
        <f t="shared" si="6"/>
        <v>33.966786240886385</v>
      </c>
      <c r="G25" s="32">
        <f>'Price list REWE '!E23</f>
        <v>1.76</v>
      </c>
      <c r="H25" s="31">
        <f t="shared" si="1"/>
        <v>8.5402205405657201E-3</v>
      </c>
      <c r="J25" s="42">
        <f>'Price list REWE '!H23</f>
        <v>3.32</v>
      </c>
      <c r="K25" s="42">
        <f t="shared" si="2"/>
        <v>1.6109961474248969E-2</v>
      </c>
      <c r="M25" s="31">
        <f>'Price list ALDI Süd'!E23</f>
        <v>1.99</v>
      </c>
      <c r="N25" s="31">
        <f t="shared" si="3"/>
        <v>9.6562720884805584E-3</v>
      </c>
      <c r="P25" s="42">
        <f>'Price list ALDI Süd'!H23</f>
        <v>3.32</v>
      </c>
      <c r="Q25" s="42">
        <f t="shared" si="4"/>
        <v>1.6109961474248969E-2</v>
      </c>
    </row>
    <row r="26" spans="1:17" ht="17" x14ac:dyDescent="0.2">
      <c r="B26" s="16" t="s">
        <v>394</v>
      </c>
      <c r="C26" s="340">
        <v>7.8411761271535096E-2</v>
      </c>
      <c r="D26" s="6">
        <f t="shared" si="5"/>
        <v>6.900234991895088</v>
      </c>
      <c r="E26" s="1">
        <f t="shared" si="6"/>
        <v>48.301644943265615</v>
      </c>
      <c r="G26" s="32">
        <f>'Price list REWE '!E24</f>
        <v>1.8349928876244666</v>
      </c>
      <c r="H26" s="31">
        <f t="shared" si="1"/>
        <v>1.2661882133064954E-2</v>
      </c>
      <c r="J26" s="42">
        <f>'Price list REWE '!H24</f>
        <v>3.8264580369843526</v>
      </c>
      <c r="K26" s="42">
        <f t="shared" si="2"/>
        <v>2.6403459641817621E-2</v>
      </c>
      <c r="M26" s="31">
        <f>'Price list ALDI Süd'!E24</f>
        <v>1.4082503556187767</v>
      </c>
      <c r="N26" s="31">
        <f t="shared" si="3"/>
        <v>9.7172583811893833E-3</v>
      </c>
      <c r="P26" s="42">
        <f>'Price list ALDI Süd'!H24</f>
        <v>3.8264580369843526</v>
      </c>
      <c r="Q26" s="42">
        <f t="shared" si="4"/>
        <v>2.6403459641817621E-2</v>
      </c>
    </row>
    <row r="27" spans="1:17" ht="17" x14ac:dyDescent="0.2">
      <c r="B27" s="16" t="s">
        <v>395</v>
      </c>
      <c r="C27" s="340">
        <v>0.10804527200358816</v>
      </c>
      <c r="D27" s="6">
        <f t="shared" si="5"/>
        <v>9.5079839363157568</v>
      </c>
      <c r="E27" s="1">
        <f t="shared" si="6"/>
        <v>66.555887554210301</v>
      </c>
      <c r="G27" s="32">
        <f>'Price list REWE '!E25</f>
        <v>6.2402088772845961</v>
      </c>
      <c r="H27" s="31">
        <f t="shared" si="1"/>
        <v>5.9331805764476928E-2</v>
      </c>
      <c r="J27" s="42">
        <f>'Price list REWE '!H25</f>
        <v>6.5013054830287214</v>
      </c>
      <c r="K27" s="42">
        <f t="shared" si="2"/>
        <v>6.181430809771863E-2</v>
      </c>
      <c r="M27" s="31">
        <f>'Price list ALDI Süd'!E25</f>
        <v>4.125</v>
      </c>
      <c r="N27" s="31">
        <f t="shared" si="3"/>
        <v>3.9220433737302496E-2</v>
      </c>
      <c r="P27" s="42">
        <f>'Price list ALDI Süd'!H25</f>
        <v>7.041666666666667</v>
      </c>
      <c r="Q27" s="42">
        <f t="shared" si="4"/>
        <v>6.6952053551556784E-2</v>
      </c>
    </row>
    <row r="28" spans="1:17" ht="17" x14ac:dyDescent="0.2">
      <c r="B28" s="10" t="s">
        <v>396</v>
      </c>
      <c r="C28" s="340">
        <v>0.24433687491347134</v>
      </c>
      <c r="D28" s="6">
        <f t="shared" si="5"/>
        <v>21.501644992385479</v>
      </c>
      <c r="E28" s="1">
        <f t="shared" si="6"/>
        <v>150.51151494669836</v>
      </c>
      <c r="G28" s="32">
        <f>'Price list REWE '!E26</f>
        <v>1.0745614035087721</v>
      </c>
      <c r="H28" s="31">
        <f t="shared" si="1"/>
        <v>2.3104837820765101E-2</v>
      </c>
      <c r="J28" s="42">
        <f>'Price list REWE '!H26</f>
        <v>3.2675438596491229</v>
      </c>
      <c r="K28" s="42">
        <f t="shared" si="2"/>
        <v>7.0257568067224482E-2</v>
      </c>
      <c r="M28" s="31">
        <f>'Price list ALDI Süd'!E26</f>
        <v>1.0745614035087721</v>
      </c>
      <c r="N28" s="31">
        <f t="shared" si="3"/>
        <v>2.3104837820765101E-2</v>
      </c>
      <c r="P28" s="42">
        <f>'Price list ALDI Süd'!H26</f>
        <v>1.2938596491228069</v>
      </c>
      <c r="Q28" s="42">
        <f t="shared" si="4"/>
        <v>2.7820110845411035E-2</v>
      </c>
    </row>
    <row r="29" spans="1:17" ht="17" x14ac:dyDescent="0.2">
      <c r="B29" s="16" t="s">
        <v>63</v>
      </c>
      <c r="C29" s="340">
        <v>0.19518950227051848</v>
      </c>
      <c r="D29" s="6">
        <f t="shared" si="5"/>
        <v>17.176676199805627</v>
      </c>
      <c r="E29" s="1">
        <f t="shared" si="6"/>
        <v>120.23673339863939</v>
      </c>
      <c r="G29" s="33">
        <f>'Price list REWE '!E27</f>
        <v>1.79</v>
      </c>
      <c r="H29" s="31">
        <f t="shared" si="1"/>
        <v>3.0746250397652074E-2</v>
      </c>
      <c r="J29" s="42">
        <f>'Price list REWE '!H27</f>
        <v>3.58</v>
      </c>
      <c r="K29" s="42">
        <f t="shared" si="2"/>
        <v>6.1492500795304147E-2</v>
      </c>
      <c r="M29" s="31">
        <f>'Price list ALDI Süd'!E27</f>
        <v>1.49</v>
      </c>
      <c r="N29" s="31">
        <f t="shared" si="3"/>
        <v>2.5593247537710383E-2</v>
      </c>
      <c r="P29" s="42">
        <f>'Price list ALDI Süd'!H27</f>
        <v>1.78</v>
      </c>
      <c r="Q29" s="42">
        <f t="shared" si="4"/>
        <v>3.0574483635654019E-2</v>
      </c>
    </row>
    <row r="30" spans="1:17" ht="17" x14ac:dyDescent="0.2">
      <c r="B30" s="16" t="s">
        <v>66</v>
      </c>
      <c r="C30" s="340">
        <v>0.19518950227051848</v>
      </c>
      <c r="D30" s="6">
        <f t="shared" si="5"/>
        <v>17.176676199805627</v>
      </c>
      <c r="E30" s="1">
        <f t="shared" si="6"/>
        <v>120.23673339863939</v>
      </c>
      <c r="G30" s="33">
        <f>'Price list REWE '!E28</f>
        <v>1.99</v>
      </c>
      <c r="H30" s="31">
        <f t="shared" si="1"/>
        <v>3.4181585637613199E-2</v>
      </c>
      <c r="J30" s="42">
        <f>'Price list REWE '!H28</f>
        <v>5.3</v>
      </c>
      <c r="K30" s="42">
        <f t="shared" si="2"/>
        <v>9.1036383858969824E-2</v>
      </c>
      <c r="M30" s="31">
        <f>'Price list ALDI Süd'!E28</f>
        <v>1.99</v>
      </c>
      <c r="N30" s="31">
        <f t="shared" si="3"/>
        <v>3.4181585637613199E-2</v>
      </c>
      <c r="P30" s="42">
        <f>'Price list ALDI Süd'!H28</f>
        <v>5.3</v>
      </c>
      <c r="Q30" s="42">
        <f t="shared" si="4"/>
        <v>9.1036383858969824E-2</v>
      </c>
    </row>
    <row r="31" spans="1:17" x14ac:dyDescent="0.2">
      <c r="A31" s="9">
        <v>8</v>
      </c>
      <c r="B31" s="17"/>
      <c r="C31" s="340"/>
      <c r="G31" s="32"/>
      <c r="H31" s="31"/>
      <c r="J31" s="42"/>
      <c r="K31" s="42"/>
      <c r="M31" s="31"/>
      <c r="N31" s="31"/>
      <c r="P31" s="42"/>
      <c r="Q31" s="42"/>
    </row>
    <row r="32" spans="1:17" s="4" customFormat="1" ht="17" x14ac:dyDescent="0.2">
      <c r="A32" s="12"/>
      <c r="B32" s="12" t="s">
        <v>69</v>
      </c>
      <c r="C32" s="341"/>
      <c r="D32" s="4">
        <f>100*C4</f>
        <v>88</v>
      </c>
      <c r="F32" s="4">
        <f>30*C4</f>
        <v>26.4</v>
      </c>
      <c r="G32" s="12"/>
    </row>
    <row r="33" spans="1:17" ht="17" x14ac:dyDescent="0.2">
      <c r="B33" s="23" t="s">
        <v>70</v>
      </c>
      <c r="C33" s="340">
        <v>0.21012979994107583</v>
      </c>
      <c r="D33" s="6">
        <f>C33*D32</f>
        <v>18.491422394814673</v>
      </c>
      <c r="E33" s="1">
        <f t="shared" ref="E33:E38" si="7">D33*7</f>
        <v>129.43995676370272</v>
      </c>
      <c r="G33" s="32">
        <f>'Price list REWE '!E31</f>
        <v>1.75</v>
      </c>
      <c r="H33" s="31">
        <f t="shared" ref="H33:H38" si="8">G33/1000*D33</f>
        <v>3.2359989190925677E-2</v>
      </c>
      <c r="J33" s="42">
        <f>'Price list REWE '!H31</f>
        <v>2.79</v>
      </c>
      <c r="K33" s="42">
        <f t="shared" ref="K33:K38" si="9">J33/1000*D33</f>
        <v>5.1591068481532935E-2</v>
      </c>
      <c r="M33" s="31">
        <f>'Price list ALDI Süd'!E31</f>
        <v>1.5</v>
      </c>
      <c r="N33" s="31">
        <f t="shared" ref="N33:N38" si="10">M33/1000*D33</f>
        <v>2.7737133592222012E-2</v>
      </c>
      <c r="P33" s="42">
        <f>'Price list ALDI Süd'!H31</f>
        <v>2.19</v>
      </c>
      <c r="Q33" s="42">
        <f t="shared" ref="Q33:Q38" si="11">P33/1000*D33</f>
        <v>4.0496215044644138E-2</v>
      </c>
    </row>
    <row r="34" spans="1:17" ht="17" x14ac:dyDescent="0.2">
      <c r="B34" s="10" t="s">
        <v>73</v>
      </c>
      <c r="C34" s="340">
        <v>0.19042830974833957</v>
      </c>
      <c r="D34" s="6">
        <f>C34*D32</f>
        <v>16.757691257853882</v>
      </c>
      <c r="E34" s="1">
        <f t="shared" si="7"/>
        <v>117.30383880497718</v>
      </c>
      <c r="G34" s="33">
        <f>'Price list REWE '!E32</f>
        <v>2.79</v>
      </c>
      <c r="H34" s="31">
        <f t="shared" si="8"/>
        <v>4.6753958609412331E-2</v>
      </c>
      <c r="J34" s="42">
        <f>'Price list REWE '!H32</f>
        <v>5.18</v>
      </c>
      <c r="K34" s="42">
        <f t="shared" si="9"/>
        <v>8.6804840715683104E-2</v>
      </c>
      <c r="M34" s="31">
        <f>'Price list ALDI Süd'!E32</f>
        <v>1.79</v>
      </c>
      <c r="N34" s="31">
        <f t="shared" si="10"/>
        <v>2.9996267351558449E-2</v>
      </c>
      <c r="P34" s="42">
        <f>'Price list ALDI Süd'!H32</f>
        <v>4.58</v>
      </c>
      <c r="Q34" s="42">
        <f t="shared" si="11"/>
        <v>7.675022596097078E-2</v>
      </c>
    </row>
    <row r="35" spans="1:17" ht="17" x14ac:dyDescent="0.2">
      <c r="B35" s="23" t="s">
        <v>76</v>
      </c>
      <c r="C35" s="340">
        <v>0.19042830974833957</v>
      </c>
      <c r="D35" s="6">
        <f>C35*$D$32</f>
        <v>16.757691257853882</v>
      </c>
      <c r="E35" s="1">
        <f t="shared" si="7"/>
        <v>117.30383880497718</v>
      </c>
      <c r="G35" s="33">
        <f>'Price list REWE '!E33</f>
        <v>1.7</v>
      </c>
      <c r="H35" s="31">
        <f t="shared" si="8"/>
        <v>2.8488075138351596E-2</v>
      </c>
      <c r="J35" s="42">
        <f>'Price list REWE '!H33</f>
        <v>2.27</v>
      </c>
      <c r="K35" s="42">
        <f t="shared" si="9"/>
        <v>3.8039959155328311E-2</v>
      </c>
      <c r="M35" s="31">
        <f>'Price list ALDI Süd'!E33</f>
        <v>1.7</v>
      </c>
      <c r="N35" s="31">
        <f t="shared" si="10"/>
        <v>2.8488075138351596E-2</v>
      </c>
      <c r="P35" s="42">
        <f>'Price list ALDI Süd'!H33</f>
        <v>1.98</v>
      </c>
      <c r="Q35" s="42">
        <f t="shared" si="11"/>
        <v>3.3180228690550685E-2</v>
      </c>
    </row>
    <row r="36" spans="1:17" ht="17" x14ac:dyDescent="0.2">
      <c r="B36" s="23" t="s">
        <v>79</v>
      </c>
      <c r="C36" s="340">
        <v>0.19042830974833957</v>
      </c>
      <c r="D36" s="6">
        <f t="shared" ref="D36:D38" si="12">C36*$D$32</f>
        <v>16.757691257853882</v>
      </c>
      <c r="E36" s="1">
        <f t="shared" si="7"/>
        <v>117.30383880497718</v>
      </c>
      <c r="G36" s="34">
        <f>'Price list REWE '!E34</f>
        <v>2.125</v>
      </c>
      <c r="H36" s="31">
        <f t="shared" si="8"/>
        <v>3.5610093922939498E-2</v>
      </c>
      <c r="J36" s="42">
        <f>'Price list REWE '!H34</f>
        <v>2.4750000000000001</v>
      </c>
      <c r="K36" s="42">
        <f t="shared" si="9"/>
        <v>4.1475285863188362E-2</v>
      </c>
      <c r="M36" s="31">
        <f>'Price list ALDI Süd'!E34</f>
        <v>2</v>
      </c>
      <c r="N36" s="31">
        <f t="shared" si="10"/>
        <v>3.3515382515707764E-2</v>
      </c>
      <c r="P36" s="42">
        <f>'Price list ALDI Süd'!H34</f>
        <v>2.4750000000000001</v>
      </c>
      <c r="Q36" s="42">
        <f t="shared" si="11"/>
        <v>4.1475285863188362E-2</v>
      </c>
    </row>
    <row r="37" spans="1:17" ht="17" x14ac:dyDescent="0.2">
      <c r="B37" s="16" t="s">
        <v>82</v>
      </c>
      <c r="C37" s="340">
        <v>0.10929263540695267</v>
      </c>
      <c r="D37" s="6">
        <f t="shared" si="12"/>
        <v>9.6177519158118336</v>
      </c>
      <c r="E37" s="1">
        <f t="shared" si="7"/>
        <v>67.324263410682832</v>
      </c>
      <c r="G37" s="33">
        <f>'Price list REWE '!E35</f>
        <v>3.98</v>
      </c>
      <c r="H37" s="31">
        <f t="shared" si="8"/>
        <v>3.8278652624931096E-2</v>
      </c>
      <c r="J37" s="42">
        <f>'Price list REWE '!H35</f>
        <v>6.99</v>
      </c>
      <c r="K37" s="42">
        <f t="shared" si="9"/>
        <v>6.7228085891524722E-2</v>
      </c>
      <c r="M37" s="31">
        <f>'Price list ALDI Süd'!E35</f>
        <v>3.79</v>
      </c>
      <c r="N37" s="31">
        <f t="shared" si="10"/>
        <v>3.6451279760926852E-2</v>
      </c>
      <c r="P37" s="42">
        <f>'Price list ALDI Süd'!H35</f>
        <v>4.4800000000000004</v>
      </c>
      <c r="Q37" s="42">
        <f t="shared" si="11"/>
        <v>4.3087528582837022E-2</v>
      </c>
    </row>
    <row r="38" spans="1:17" ht="17" x14ac:dyDescent="0.2">
      <c r="B38" s="16" t="s">
        <v>397</v>
      </c>
      <c r="C38" s="340">
        <v>0.10929263540695267</v>
      </c>
      <c r="D38" s="6">
        <f t="shared" si="12"/>
        <v>9.6177519158118336</v>
      </c>
      <c r="E38" s="1">
        <f t="shared" si="7"/>
        <v>67.324263410682832</v>
      </c>
      <c r="G38" s="76">
        <f>'Price list REWE '!E36</f>
        <v>2.9289940828402368</v>
      </c>
      <c r="H38" s="31">
        <f t="shared" si="8"/>
        <v>2.8170338451638213E-2</v>
      </c>
      <c r="J38" s="42">
        <f>'Price list REWE '!H36</f>
        <v>3.8165680473372783</v>
      </c>
      <c r="K38" s="42">
        <f t="shared" si="9"/>
        <v>3.6706804649104335E-2</v>
      </c>
      <c r="M38" s="31">
        <f>'Price list ALDI Süd'!E36</f>
        <v>2.3372781065088759</v>
      </c>
      <c r="N38" s="31">
        <f t="shared" si="10"/>
        <v>2.2479360986660795E-2</v>
      </c>
      <c r="P38" s="42">
        <f>'Price list ALDI Süd'!H36</f>
        <v>3.8165680473372783</v>
      </c>
      <c r="Q38" s="42">
        <f t="shared" si="11"/>
        <v>3.6706804649104335E-2</v>
      </c>
    </row>
    <row r="39" spans="1:17" x14ac:dyDescent="0.2">
      <c r="A39" s="9">
        <v>6</v>
      </c>
      <c r="C39" s="340"/>
      <c r="D39" s="6"/>
      <c r="G39" s="35"/>
      <c r="H39" s="31"/>
      <c r="J39" s="42"/>
      <c r="K39" s="42"/>
      <c r="M39" s="31"/>
      <c r="N39" s="31"/>
      <c r="P39" s="42"/>
      <c r="Q39" s="42"/>
    </row>
    <row r="40" spans="1:17" s="4" customFormat="1" ht="17" x14ac:dyDescent="0.2">
      <c r="A40" s="12"/>
      <c r="B40" s="25" t="s">
        <v>88</v>
      </c>
      <c r="C40" s="343"/>
      <c r="D40" s="29">
        <f>100*C4</f>
        <v>88</v>
      </c>
      <c r="E40" s="22"/>
      <c r="F40" s="4">
        <f>25*C4</f>
        <v>22</v>
      </c>
      <c r="G40" s="12"/>
    </row>
    <row r="41" spans="1:17" ht="17" x14ac:dyDescent="0.2">
      <c r="B41" s="16" t="s">
        <v>89</v>
      </c>
      <c r="C41" s="340">
        <v>0.24393305975418372</v>
      </c>
      <c r="D41" s="1">
        <f>C41*$D$40</f>
        <v>21.466109258368167</v>
      </c>
      <c r="E41" s="1">
        <f>D41*7</f>
        <v>150.26276480857717</v>
      </c>
      <c r="G41" s="32">
        <f>'Price list REWE '!E39</f>
        <v>1.49</v>
      </c>
      <c r="H41" s="31">
        <f>G41/1000*D41</f>
        <v>3.1984502794968568E-2</v>
      </c>
      <c r="J41" s="42">
        <f>'Price list REWE '!H39</f>
        <v>1.49</v>
      </c>
      <c r="K41" s="42">
        <f>J41/1000*D41</f>
        <v>3.1984502794968568E-2</v>
      </c>
      <c r="M41" s="31">
        <f>'Price list ALDI Süd'!E39</f>
        <v>1.49</v>
      </c>
      <c r="N41" s="31">
        <f>M41/1000*D41</f>
        <v>3.1984502794968568E-2</v>
      </c>
      <c r="P41" s="42">
        <f>'Price list ALDI Süd'!H39</f>
        <v>1.49</v>
      </c>
      <c r="Q41" s="42">
        <f>P41/1000*D41</f>
        <v>3.1984502794968568E-2</v>
      </c>
    </row>
    <row r="42" spans="1:17" ht="17" x14ac:dyDescent="0.2">
      <c r="B42" s="16" t="s">
        <v>91</v>
      </c>
      <c r="C42" s="340">
        <v>0.10630306243579046</v>
      </c>
      <c r="D42" s="1">
        <f t="shared" ref="D42:D45" si="13">C42*$D$40</f>
        <v>9.3546694943495616</v>
      </c>
      <c r="E42" s="1">
        <f>D42*7</f>
        <v>65.482686460446928</v>
      </c>
      <c r="G42" s="78">
        <f>'Price list REWE '!E40</f>
        <v>1.99</v>
      </c>
      <c r="H42" s="31">
        <f>G42/1000*D42</f>
        <v>1.8615792293755627E-2</v>
      </c>
      <c r="J42" s="42">
        <f>'Price list REWE '!H40</f>
        <v>7.3</v>
      </c>
      <c r="K42" s="42">
        <f>J42/1000*D42</f>
        <v>6.82890873087518E-2</v>
      </c>
      <c r="M42" s="31">
        <f>'Price list ALDI Süd'!E40</f>
        <v>1.99</v>
      </c>
      <c r="N42" s="31">
        <f>M42/1000*D42</f>
        <v>1.8615792293755627E-2</v>
      </c>
      <c r="P42" s="42">
        <f>'Price list ALDI Süd'!H40</f>
        <v>3.32</v>
      </c>
      <c r="Q42" s="42">
        <f>P42/1000*D42</f>
        <v>3.1057502721240544E-2</v>
      </c>
    </row>
    <row r="43" spans="1:17" ht="17" x14ac:dyDescent="0.2">
      <c r="B43" s="10" t="s">
        <v>94</v>
      </c>
      <c r="C43" s="87">
        <v>0.46774770023805184</v>
      </c>
      <c r="D43" s="1">
        <f t="shared" si="13"/>
        <v>41.161797620948562</v>
      </c>
      <c r="E43" s="1">
        <f>D43*7</f>
        <v>288.13258334663993</v>
      </c>
      <c r="G43" s="32">
        <f>'Price list REWE '!E41</f>
        <v>1.79</v>
      </c>
      <c r="H43" s="31">
        <f>G43/1000*D43</f>
        <v>7.3679617741497935E-2</v>
      </c>
      <c r="J43" s="42">
        <f>'Price list REWE '!H41</f>
        <v>3.05</v>
      </c>
      <c r="K43" s="42">
        <f>J43/1000*D43</f>
        <v>0.1255434827438931</v>
      </c>
      <c r="M43" s="31">
        <f>'Price list ALDI Süd'!E41</f>
        <v>1.99</v>
      </c>
      <c r="N43" s="31">
        <f>M43/1000*D43</f>
        <v>8.1911977265687635E-2</v>
      </c>
      <c r="P43" s="42">
        <f>'Price list ALDI Süd'!H41</f>
        <v>1.99</v>
      </c>
      <c r="Q43" s="42">
        <f>P43/1000*D43</f>
        <v>8.1911977265687635E-2</v>
      </c>
    </row>
    <row r="44" spans="1:17" ht="17" x14ac:dyDescent="0.2">
      <c r="B44" s="10" t="s">
        <v>398</v>
      </c>
      <c r="C44" s="87">
        <v>0.10260798307610458</v>
      </c>
      <c r="D44" s="1">
        <f t="shared" si="13"/>
        <v>9.0295025106972027</v>
      </c>
      <c r="E44" s="1">
        <f>D44*7</f>
        <v>63.206517574880422</v>
      </c>
      <c r="G44" s="32">
        <f>'Price list REWE '!E42</f>
        <v>6.99</v>
      </c>
      <c r="H44" s="31">
        <f>G44/1000*D44</f>
        <v>6.3116222549773449E-2</v>
      </c>
      <c r="J44" s="42">
        <f>'Price list REWE '!H42</f>
        <v>9.9600000000000009</v>
      </c>
      <c r="K44" s="42">
        <f>J44/1000*D44</f>
        <v>8.9933845006544139E-2</v>
      </c>
      <c r="M44" s="31">
        <f>'Price list ALDI Süd'!E42</f>
        <v>4.9800000000000004</v>
      </c>
      <c r="N44" s="31">
        <f>M44/1000*D44</f>
        <v>4.4966922503272069E-2</v>
      </c>
      <c r="P44" s="42">
        <f>'Price list ALDI Süd'!H42</f>
        <v>7.16</v>
      </c>
      <c r="Q44" s="42">
        <f>P44/1000*D44</f>
        <v>6.4651237976591974E-2</v>
      </c>
    </row>
    <row r="45" spans="1:17" ht="17" x14ac:dyDescent="0.2">
      <c r="B45" s="16" t="s">
        <v>100</v>
      </c>
      <c r="C45" s="87">
        <v>7.9408194495869444E-2</v>
      </c>
      <c r="D45" s="1">
        <f t="shared" si="13"/>
        <v>6.9879211156365111</v>
      </c>
      <c r="E45" s="1">
        <f>D45*7</f>
        <v>48.915447809455578</v>
      </c>
      <c r="G45" s="33">
        <f>'Price list REWE '!E43</f>
        <v>10</v>
      </c>
      <c r="H45" s="31">
        <f>G45/1000*D45</f>
        <v>6.9879211156365112E-2</v>
      </c>
      <c r="J45" s="42">
        <f>'Price list REWE '!H43</f>
        <v>10</v>
      </c>
      <c r="K45" s="42">
        <f>J45/1000*D45</f>
        <v>6.9879211156365112E-2</v>
      </c>
      <c r="M45" s="31">
        <f>'Price list ALDI Süd'!E43</f>
        <v>9.9</v>
      </c>
      <c r="N45" s="31">
        <f>M45/1000*D45</f>
        <v>6.9180419044801461E-2</v>
      </c>
      <c r="P45" s="42">
        <f>'Price list ALDI Süd'!H43</f>
        <v>9.9</v>
      </c>
      <c r="Q45" s="42">
        <f>P45/1000*D45</f>
        <v>6.9180419044801461E-2</v>
      </c>
    </row>
    <row r="46" spans="1:17" x14ac:dyDescent="0.2">
      <c r="A46" s="9">
        <v>5</v>
      </c>
      <c r="C46" s="87"/>
      <c r="G46" s="31"/>
      <c r="H46" s="31"/>
      <c r="J46" s="42"/>
      <c r="K46" s="42"/>
      <c r="M46" s="31"/>
      <c r="N46" s="31"/>
      <c r="P46" s="42"/>
      <c r="Q46" s="42"/>
    </row>
    <row r="47" spans="1:17" s="4" customFormat="1" ht="17" x14ac:dyDescent="0.2">
      <c r="A47" s="12" t="s">
        <v>399</v>
      </c>
      <c r="C47" s="88"/>
      <c r="D47" s="4">
        <f>200*C4</f>
        <v>176</v>
      </c>
      <c r="E47" s="4">
        <f>D47*$E$9</f>
        <v>1232</v>
      </c>
      <c r="F47" s="4">
        <f>126*C4</f>
        <v>110.88</v>
      </c>
    </row>
    <row r="48" spans="1:17" ht="17" x14ac:dyDescent="0.2">
      <c r="B48" s="11" t="s">
        <v>103</v>
      </c>
      <c r="C48" s="342">
        <v>0.44966025536520082</v>
      </c>
      <c r="D48" s="1">
        <f>C48*$D$47</f>
        <v>79.140204944275339</v>
      </c>
      <c r="E48" s="1">
        <f t="shared" ref="E48:E57" si="14">D48*$E$9</f>
        <v>553.98143460992742</v>
      </c>
      <c r="G48" s="36">
        <f>'Price list REWE '!E46</f>
        <v>1.19</v>
      </c>
      <c r="H48" s="31">
        <f t="shared" ref="H48:H57" si="15">G48/1000*D48</f>
        <v>9.4176843883687647E-2</v>
      </c>
      <c r="J48" s="42">
        <f>'Price list REWE '!H46</f>
        <v>2.99</v>
      </c>
      <c r="K48" s="42">
        <f t="shared" ref="K48:K57" si="16">J48/1000*D48</f>
        <v>0.23662921278338328</v>
      </c>
      <c r="M48" s="31">
        <f>'Price list ALDI Süd'!E46</f>
        <v>0.94499999999999995</v>
      </c>
      <c r="N48" s="31">
        <f t="shared" ref="N48:N57" si="17">M48/1000*D48</f>
        <v>7.4787493672340194E-2</v>
      </c>
      <c r="P48" s="42">
        <f>'Price list ALDI Süd'!H46</f>
        <v>1.92</v>
      </c>
      <c r="Q48" s="42">
        <f t="shared" ref="Q48:Q57" si="18">P48/1000*D48</f>
        <v>0.15194919349300864</v>
      </c>
    </row>
    <row r="49" spans="1:17" ht="17" x14ac:dyDescent="0.2">
      <c r="B49" s="11" t="s">
        <v>106</v>
      </c>
      <c r="C49" s="342">
        <v>4.5787970295011769E-2</v>
      </c>
      <c r="D49" s="1">
        <f t="shared" ref="D49:D57" si="19">C49*$D$47</f>
        <v>8.0586827719220722</v>
      </c>
      <c r="E49" s="1">
        <f t="shared" si="14"/>
        <v>56.410779403454505</v>
      </c>
      <c r="G49" s="36">
        <f>'Price list REWE '!E47</f>
        <v>1.79</v>
      </c>
      <c r="H49" s="31">
        <f t="shared" si="15"/>
        <v>1.4425042161740511E-2</v>
      </c>
      <c r="J49" s="42">
        <f>'Price list REWE '!H47</f>
        <v>3.65</v>
      </c>
      <c r="K49" s="42">
        <f t="shared" si="16"/>
        <v>2.9414192117515562E-2</v>
      </c>
      <c r="M49" s="31">
        <f>'Price list ALDI Süd'!E47</f>
        <v>1.79</v>
      </c>
      <c r="N49" s="31">
        <f t="shared" si="17"/>
        <v>1.4425042161740511E-2</v>
      </c>
      <c r="P49" s="42">
        <f>'Price list ALDI Süd'!H47</f>
        <v>3.65</v>
      </c>
      <c r="Q49" s="42">
        <f t="shared" si="18"/>
        <v>2.9414192117515562E-2</v>
      </c>
    </row>
    <row r="50" spans="1:17" ht="17" x14ac:dyDescent="0.2">
      <c r="B50" s="11" t="s">
        <v>109</v>
      </c>
      <c r="C50" s="342">
        <v>2.019481503339627E-2</v>
      </c>
      <c r="D50" s="1">
        <f t="shared" si="19"/>
        <v>3.5542874458777436</v>
      </c>
      <c r="E50" s="1">
        <f t="shared" si="14"/>
        <v>24.880012121144205</v>
      </c>
      <c r="G50" s="36">
        <f>'Price list REWE '!E48</f>
        <v>4.99</v>
      </c>
      <c r="H50" s="31">
        <f t="shared" si="15"/>
        <v>1.7735894354929942E-2</v>
      </c>
      <c r="J50" s="42">
        <f>'Price list REWE '!H48</f>
        <v>4.99</v>
      </c>
      <c r="K50" s="42">
        <f t="shared" si="16"/>
        <v>1.7735894354929942E-2</v>
      </c>
      <c r="M50" s="31">
        <f>'Price list ALDI Süd'!E48</f>
        <v>3.98</v>
      </c>
      <c r="N50" s="31">
        <f t="shared" si="17"/>
        <v>1.414606403459342E-2</v>
      </c>
      <c r="P50" s="42">
        <f>'Price list ALDI Süd'!H48</f>
        <v>3.98</v>
      </c>
      <c r="Q50" s="42">
        <f t="shared" si="18"/>
        <v>1.414606403459342E-2</v>
      </c>
    </row>
    <row r="51" spans="1:17" ht="17" x14ac:dyDescent="0.2">
      <c r="B51" s="11" t="s">
        <v>111</v>
      </c>
      <c r="C51" s="342">
        <v>2.0560497203855613E-2</v>
      </c>
      <c r="D51" s="1">
        <f t="shared" si="19"/>
        <v>3.6186475078785878</v>
      </c>
      <c r="E51" s="1">
        <f t="shared" si="14"/>
        <v>25.330532555150114</v>
      </c>
      <c r="G51" s="36">
        <f>'Price list REWE '!E49</f>
        <v>7.98</v>
      </c>
      <c r="H51" s="31">
        <f t="shared" si="15"/>
        <v>2.8876807112871133E-2</v>
      </c>
      <c r="J51" s="42">
        <f>'Price list REWE '!H49</f>
        <v>10.63</v>
      </c>
      <c r="K51" s="42">
        <f t="shared" si="16"/>
        <v>3.8466223008749391E-2</v>
      </c>
      <c r="M51" s="31">
        <f>'Price list ALDI Süd'!E49</f>
        <v>7.98</v>
      </c>
      <c r="N51" s="31">
        <f t="shared" si="17"/>
        <v>2.8876807112871133E-2</v>
      </c>
      <c r="P51" s="42">
        <f>'Price list ALDI Süd'!H49</f>
        <v>9.9700000000000006</v>
      </c>
      <c r="Q51" s="42">
        <f t="shared" si="18"/>
        <v>3.6077915653549522E-2</v>
      </c>
    </row>
    <row r="52" spans="1:17" ht="17" x14ac:dyDescent="0.2">
      <c r="B52" s="11" t="s">
        <v>114</v>
      </c>
      <c r="C52" s="342">
        <v>1.772181875645604E-2</v>
      </c>
      <c r="D52" s="1">
        <f t="shared" si="19"/>
        <v>3.119040101136263</v>
      </c>
      <c r="E52" s="1">
        <f t="shared" si="14"/>
        <v>21.83328070795384</v>
      </c>
      <c r="G52" s="36">
        <f>'Price list REWE '!E50</f>
        <v>5.98</v>
      </c>
      <c r="H52" s="31">
        <f t="shared" si="15"/>
        <v>1.8651859804794852E-2</v>
      </c>
      <c r="J52" s="42">
        <f>'Price list REWE '!H50</f>
        <v>10.63</v>
      </c>
      <c r="K52" s="42">
        <f t="shared" si="16"/>
        <v>3.3155396275078478E-2</v>
      </c>
      <c r="M52" s="31">
        <f>'Price list ALDI Süd'!E50</f>
        <v>5.98</v>
      </c>
      <c r="N52" s="31">
        <f t="shared" si="17"/>
        <v>1.8651859804794852E-2</v>
      </c>
      <c r="P52" s="42">
        <f>'Price list ALDI Süd'!H50</f>
        <v>9.9700000000000006</v>
      </c>
      <c r="Q52" s="42">
        <f t="shared" si="18"/>
        <v>3.1096829808328546E-2</v>
      </c>
    </row>
    <row r="53" spans="1:17" ht="17" x14ac:dyDescent="0.2">
      <c r="B53" s="11" t="s">
        <v>117</v>
      </c>
      <c r="C53" s="342">
        <v>7.018785236884495E-2</v>
      </c>
      <c r="D53" s="1">
        <f t="shared" si="19"/>
        <v>12.353062016916711</v>
      </c>
      <c r="E53" s="1">
        <f t="shared" si="14"/>
        <v>86.47143411841698</v>
      </c>
      <c r="G53" s="36">
        <f>'Price list REWE '!E51</f>
        <v>5.58</v>
      </c>
      <c r="H53" s="31">
        <f t="shared" si="15"/>
        <v>6.893008605439524E-2</v>
      </c>
      <c r="J53" s="42">
        <f>'Price list REWE '!H51</f>
        <v>5.58</v>
      </c>
      <c r="K53" s="42">
        <f t="shared" si="16"/>
        <v>6.893008605439524E-2</v>
      </c>
      <c r="M53" s="31">
        <f>'Price list ALDI Süd'!E51</f>
        <v>3.99</v>
      </c>
      <c r="N53" s="31">
        <f t="shared" si="17"/>
        <v>4.9288717447497681E-2</v>
      </c>
      <c r="P53" s="42">
        <f>'Price list ALDI Süd'!H51</f>
        <v>9.9700000000000006</v>
      </c>
      <c r="Q53" s="42">
        <f t="shared" si="18"/>
        <v>0.12316002830865963</v>
      </c>
    </row>
    <row r="54" spans="1:17" ht="17" x14ac:dyDescent="0.2">
      <c r="B54" s="11" t="s">
        <v>119</v>
      </c>
      <c r="C54" s="342">
        <v>9.5944736748873077E-2</v>
      </c>
      <c r="D54" s="1">
        <f t="shared" si="19"/>
        <v>16.88627366780166</v>
      </c>
      <c r="E54" s="1">
        <f t="shared" si="14"/>
        <v>118.20391567461162</v>
      </c>
      <c r="G54" s="36">
        <f>'Price list REWE '!E52</f>
        <v>3.58</v>
      </c>
      <c r="H54" s="31">
        <f t="shared" si="15"/>
        <v>6.0452859730729946E-2</v>
      </c>
      <c r="J54" s="42">
        <f>'Price list REWE '!H52</f>
        <v>3.58</v>
      </c>
      <c r="K54" s="42">
        <f t="shared" si="16"/>
        <v>6.0452859730729946E-2</v>
      </c>
      <c r="M54" s="31">
        <f>'Price list ALDI Süd'!E52</f>
        <v>3.38</v>
      </c>
      <c r="N54" s="31">
        <f t="shared" si="17"/>
        <v>5.7075604997169606E-2</v>
      </c>
      <c r="P54" s="42">
        <f>'Price list ALDI Süd'!H52</f>
        <v>3.38</v>
      </c>
      <c r="Q54" s="42">
        <f t="shared" si="18"/>
        <v>5.7075604997169606E-2</v>
      </c>
    </row>
    <row r="55" spans="1:17" ht="17" x14ac:dyDescent="0.2">
      <c r="B55" s="11" t="s">
        <v>121</v>
      </c>
      <c r="C55" s="342">
        <v>0.21388130862220195</v>
      </c>
      <c r="D55" s="1">
        <f t="shared" si="19"/>
        <v>37.643110317507542</v>
      </c>
      <c r="E55" s="1">
        <f t="shared" si="14"/>
        <v>263.5017722225528</v>
      </c>
      <c r="G55" s="36">
        <f>'Price list REWE '!E53</f>
        <v>1.29</v>
      </c>
      <c r="H55" s="31">
        <f t="shared" si="15"/>
        <v>4.8559612309584735E-2</v>
      </c>
      <c r="J55" s="42">
        <f>'Price list REWE '!H53</f>
        <v>1.99</v>
      </c>
      <c r="K55" s="42">
        <f t="shared" si="16"/>
        <v>7.4909789531840007E-2</v>
      </c>
      <c r="M55" s="31">
        <f>'Price list ALDI Süd'!E53</f>
        <v>1.29</v>
      </c>
      <c r="N55" s="31">
        <f t="shared" si="17"/>
        <v>4.8559612309584735E-2</v>
      </c>
      <c r="P55" s="42">
        <f>'Price list ALDI Süd'!H53</f>
        <v>1.99</v>
      </c>
      <c r="Q55" s="42">
        <f t="shared" si="18"/>
        <v>7.4909789531840007E-2</v>
      </c>
    </row>
    <row r="56" spans="1:17" ht="17" x14ac:dyDescent="0.2">
      <c r="B56" s="1" t="s">
        <v>124</v>
      </c>
      <c r="C56" s="87">
        <v>1.1705878785865603E-2</v>
      </c>
      <c r="D56" s="1">
        <f t="shared" si="19"/>
        <v>2.0602346663123461</v>
      </c>
      <c r="E56" s="1">
        <f t="shared" si="14"/>
        <v>14.421642664186422</v>
      </c>
      <c r="G56" s="78">
        <f>'Price list REWE '!E54</f>
        <v>5.98</v>
      </c>
      <c r="H56" s="31">
        <f t="shared" si="15"/>
        <v>1.232020330454783E-2</v>
      </c>
      <c r="J56" s="42">
        <f>'Price list REWE '!H54</f>
        <v>5.98</v>
      </c>
      <c r="K56" s="42">
        <f t="shared" si="16"/>
        <v>1.232020330454783E-2</v>
      </c>
      <c r="M56" s="31">
        <f>'Price list ALDI Süd'!E54</f>
        <v>3.98</v>
      </c>
      <c r="N56" s="31">
        <f t="shared" si="17"/>
        <v>8.1997339719231382E-3</v>
      </c>
      <c r="P56" s="42">
        <f>'Price list ALDI Süd'!H54</f>
        <v>3.98</v>
      </c>
      <c r="Q56" s="42">
        <f t="shared" si="18"/>
        <v>8.1997339719231382E-3</v>
      </c>
    </row>
    <row r="57" spans="1:17" ht="17" x14ac:dyDescent="0.2">
      <c r="B57" s="11" t="s">
        <v>126</v>
      </c>
      <c r="C57" s="87">
        <v>5.4354866820293855E-2</v>
      </c>
      <c r="D57" s="1">
        <f t="shared" si="19"/>
        <v>9.5664565603717193</v>
      </c>
      <c r="E57" s="1">
        <f t="shared" si="14"/>
        <v>66.965195922602035</v>
      </c>
      <c r="G57" s="78">
        <f>'Price list REWE '!E55</f>
        <v>4.9800000000000004</v>
      </c>
      <c r="H57" s="31">
        <f t="shared" si="15"/>
        <v>4.7640953670651159E-2</v>
      </c>
      <c r="J57" s="42">
        <f>'Price list REWE '!H55</f>
        <v>4.9800000000000004</v>
      </c>
      <c r="K57" s="42">
        <f t="shared" si="16"/>
        <v>4.7640953670651159E-2</v>
      </c>
      <c r="M57" s="31">
        <f>'Price list ALDI Süd'!E55</f>
        <v>3.98</v>
      </c>
      <c r="N57" s="31">
        <f t="shared" si="17"/>
        <v>3.8074497110279444E-2</v>
      </c>
      <c r="P57" s="42">
        <f>'Price list ALDI Süd'!H55</f>
        <v>3.98</v>
      </c>
      <c r="Q57" s="42">
        <f t="shared" si="18"/>
        <v>3.8074497110279444E-2</v>
      </c>
    </row>
    <row r="58" spans="1:17" x14ac:dyDescent="0.2">
      <c r="A58" s="9">
        <v>10</v>
      </c>
      <c r="B58" s="11"/>
      <c r="G58" s="31"/>
      <c r="H58" s="31"/>
      <c r="J58" s="42"/>
      <c r="K58" s="42"/>
      <c r="M58" s="31"/>
      <c r="N58" s="31"/>
      <c r="P58" s="42"/>
      <c r="Q58" s="42"/>
    </row>
    <row r="59" spans="1:17" s="4" customFormat="1" ht="17" x14ac:dyDescent="0.2">
      <c r="A59" s="12" t="s">
        <v>400</v>
      </c>
      <c r="D59" s="4">
        <f>250*C4</f>
        <v>220</v>
      </c>
      <c r="E59" s="4">
        <f>D59*$E$9</f>
        <v>1540</v>
      </c>
      <c r="F59" s="4">
        <f>153*C4</f>
        <v>134.64000000000001</v>
      </c>
    </row>
    <row r="60" spans="1:17" ht="17" x14ac:dyDescent="0.2">
      <c r="B60" s="1" t="s">
        <v>129</v>
      </c>
      <c r="D60" s="1">
        <f>100*C4</f>
        <v>88</v>
      </c>
      <c r="E60" s="1">
        <f t="shared" ref="E60:E68" si="20">D60*$E$9</f>
        <v>616</v>
      </c>
      <c r="G60" s="31">
        <f>'Price list REWE '!E58</f>
        <v>1.05</v>
      </c>
      <c r="H60" s="31">
        <f t="shared" ref="H60:H68" si="21">G60/1000*D60</f>
        <v>9.240000000000001E-2</v>
      </c>
      <c r="J60" s="42">
        <f>'Price list REWE '!H58</f>
        <v>1.25</v>
      </c>
      <c r="K60" s="42">
        <f t="shared" ref="K60:K68" si="22">J60/1000*D60</f>
        <v>0.11</v>
      </c>
      <c r="M60" s="31">
        <f>'Price list ALDI Süd'!E58</f>
        <v>1.05</v>
      </c>
      <c r="N60" s="31">
        <f t="shared" ref="N60:N68" si="23">M60/1000*D60</f>
        <v>9.240000000000001E-2</v>
      </c>
      <c r="P60" s="42">
        <f>'Price list ALDI Süd'!H58</f>
        <v>1.25</v>
      </c>
      <c r="Q60" s="42">
        <f t="shared" ref="Q60:Q68" si="24">P60/1000*D60</f>
        <v>0.11</v>
      </c>
    </row>
    <row r="61" spans="1:17" ht="17" x14ac:dyDescent="0.2">
      <c r="B61" s="1" t="s">
        <v>132</v>
      </c>
      <c r="D61" s="1">
        <f>80*C4</f>
        <v>70.400000000000006</v>
      </c>
      <c r="E61" s="1">
        <f t="shared" si="20"/>
        <v>492.80000000000007</v>
      </c>
      <c r="G61" s="31">
        <f>'Price list REWE '!E59</f>
        <v>1.7</v>
      </c>
      <c r="H61" s="31">
        <f t="shared" si="21"/>
        <v>0.11968000000000001</v>
      </c>
      <c r="J61" s="42">
        <f>'Price list REWE '!H59</f>
        <v>2.38</v>
      </c>
      <c r="K61" s="42">
        <f t="shared" si="22"/>
        <v>0.16755200000000001</v>
      </c>
      <c r="M61" s="31">
        <f>'Price list ALDI Süd'!E59</f>
        <v>1.7</v>
      </c>
      <c r="N61" s="31">
        <f t="shared" si="23"/>
        <v>0.11968000000000001</v>
      </c>
      <c r="P61" s="42">
        <f>'Price list ALDI Süd'!H59</f>
        <v>2.38</v>
      </c>
      <c r="Q61" s="42">
        <f t="shared" si="24"/>
        <v>0.16755200000000001</v>
      </c>
    </row>
    <row r="62" spans="1:17" ht="17" x14ac:dyDescent="0.2">
      <c r="B62" s="1" t="s">
        <v>135</v>
      </c>
      <c r="D62" s="1">
        <f>10*C4</f>
        <v>8.8000000000000007</v>
      </c>
      <c r="E62" s="1">
        <f t="shared" si="20"/>
        <v>61.600000000000009</v>
      </c>
      <c r="G62" s="31">
        <f>'Price list REWE '!E60</f>
        <v>4.63</v>
      </c>
      <c r="H62" s="31">
        <f t="shared" si="21"/>
        <v>4.0744000000000002E-2</v>
      </c>
      <c r="J62" s="42">
        <f>'Price list REWE '!H60</f>
        <v>7.37</v>
      </c>
      <c r="K62" s="42">
        <f t="shared" si="22"/>
        <v>6.4855999999999997E-2</v>
      </c>
      <c r="M62" s="31">
        <f>'Price list ALDI Süd'!E60</f>
        <v>4.63</v>
      </c>
      <c r="N62" s="31">
        <f t="shared" si="23"/>
        <v>4.0744000000000002E-2</v>
      </c>
      <c r="P62" s="42">
        <f>'Price list ALDI Süd'!H60</f>
        <v>7.37</v>
      </c>
      <c r="Q62" s="42">
        <f t="shared" si="24"/>
        <v>6.4855999999999997E-2</v>
      </c>
    </row>
    <row r="63" spans="1:17" ht="17" x14ac:dyDescent="0.2">
      <c r="B63" s="1" t="s">
        <v>138</v>
      </c>
      <c r="D63" s="1">
        <f>10*C4</f>
        <v>8.8000000000000007</v>
      </c>
      <c r="E63" s="1">
        <f t="shared" si="20"/>
        <v>61.600000000000009</v>
      </c>
      <c r="G63" s="31">
        <f>'Price list REWE '!E61</f>
        <v>2.98</v>
      </c>
      <c r="H63" s="31">
        <f t="shared" si="21"/>
        <v>2.6224000000000001E-2</v>
      </c>
      <c r="J63" s="42">
        <f>'Price list REWE '!H61</f>
        <v>4.2</v>
      </c>
      <c r="K63" s="42">
        <f t="shared" si="22"/>
        <v>3.6960000000000007E-2</v>
      </c>
      <c r="M63" s="31">
        <f>'Price list ALDI Süd'!E61</f>
        <v>2.8</v>
      </c>
      <c r="N63" s="31">
        <f t="shared" si="23"/>
        <v>2.4640000000000002E-2</v>
      </c>
      <c r="P63" s="42">
        <f>'Price list ALDI Süd'!H61</f>
        <v>4.2</v>
      </c>
      <c r="Q63" s="42">
        <f t="shared" si="24"/>
        <v>3.6960000000000007E-2</v>
      </c>
    </row>
    <row r="64" spans="1:17" ht="19" customHeight="1" x14ac:dyDescent="0.2">
      <c r="B64" s="1" t="s">
        <v>141</v>
      </c>
      <c r="D64" s="1">
        <f>10*C4</f>
        <v>8.8000000000000007</v>
      </c>
      <c r="E64" s="1">
        <f t="shared" si="20"/>
        <v>61.600000000000009</v>
      </c>
      <c r="G64" s="31">
        <f>'Price list REWE '!E62</f>
        <v>7.92</v>
      </c>
      <c r="H64" s="31">
        <f t="shared" si="21"/>
        <v>6.9696000000000008E-2</v>
      </c>
      <c r="J64" s="42">
        <f>'Price list REWE '!H62</f>
        <v>10.32</v>
      </c>
      <c r="K64" s="42">
        <f t="shared" si="22"/>
        <v>9.0816000000000022E-2</v>
      </c>
      <c r="M64" s="31">
        <f>'Price list ALDI Süd'!E62</f>
        <v>7.92</v>
      </c>
      <c r="N64" s="31">
        <f t="shared" si="23"/>
        <v>6.9696000000000008E-2</v>
      </c>
      <c r="P64" s="42">
        <f>'Price list ALDI Süd'!H62</f>
        <v>10.32</v>
      </c>
      <c r="Q64" s="42">
        <f t="shared" si="24"/>
        <v>9.0816000000000022E-2</v>
      </c>
    </row>
    <row r="65" spans="1:17" ht="17" x14ac:dyDescent="0.2">
      <c r="B65" s="1" t="s">
        <v>144</v>
      </c>
      <c r="D65" s="1">
        <f>10*C4</f>
        <v>8.8000000000000007</v>
      </c>
      <c r="E65" s="1">
        <f t="shared" si="20"/>
        <v>61.600000000000009</v>
      </c>
      <c r="G65" s="31">
        <f>'Price list REWE '!E63</f>
        <v>3.45</v>
      </c>
      <c r="H65" s="31">
        <f t="shared" si="21"/>
        <v>3.0360000000000005E-2</v>
      </c>
      <c r="J65" s="42">
        <f>'Price list REWE '!H63</f>
        <v>4.45</v>
      </c>
      <c r="K65" s="42">
        <f t="shared" si="22"/>
        <v>3.916E-2</v>
      </c>
      <c r="M65" s="31">
        <f>'Price list ALDI Süd'!E63</f>
        <v>3.45</v>
      </c>
      <c r="N65" s="31">
        <f t="shared" si="23"/>
        <v>3.0360000000000005E-2</v>
      </c>
      <c r="P65" s="42">
        <f>'Price list ALDI Süd'!H63</f>
        <v>4.25</v>
      </c>
      <c r="Q65" s="42">
        <f t="shared" si="24"/>
        <v>3.7400000000000003E-2</v>
      </c>
    </row>
    <row r="66" spans="1:17" ht="21" customHeight="1" x14ac:dyDescent="0.2">
      <c r="B66" s="1" t="s">
        <v>401</v>
      </c>
      <c r="D66" s="1">
        <f>10*C4</f>
        <v>8.8000000000000007</v>
      </c>
      <c r="E66" s="1">
        <f t="shared" si="20"/>
        <v>61.600000000000009</v>
      </c>
      <c r="G66" s="31">
        <f>'Price list REWE '!E64</f>
        <v>7.48</v>
      </c>
      <c r="H66" s="31">
        <f t="shared" si="21"/>
        <v>6.5824000000000008E-2</v>
      </c>
      <c r="J66" s="42">
        <f>'Price list REWE '!H64</f>
        <v>12.6</v>
      </c>
      <c r="K66" s="42">
        <f t="shared" si="22"/>
        <v>0.11088000000000001</v>
      </c>
      <c r="M66" s="31">
        <f>'Price list ALDI Süd'!E64</f>
        <v>9.9600000000000009</v>
      </c>
      <c r="N66" s="31">
        <f t="shared" si="23"/>
        <v>8.7648000000000004E-2</v>
      </c>
      <c r="P66" s="42">
        <f>'Price list ALDI Süd'!H64</f>
        <v>10.95</v>
      </c>
      <c r="Q66" s="42">
        <f t="shared" si="24"/>
        <v>9.6360000000000001E-2</v>
      </c>
    </row>
    <row r="67" spans="1:17" ht="34" x14ac:dyDescent="0.2">
      <c r="B67" s="1" t="s">
        <v>402</v>
      </c>
      <c r="D67" s="1">
        <f>10*C4</f>
        <v>8.8000000000000007</v>
      </c>
      <c r="E67" s="1">
        <f t="shared" si="20"/>
        <v>61.600000000000009</v>
      </c>
      <c r="G67" s="31">
        <f>'Price list REWE '!E65</f>
        <v>11.56</v>
      </c>
      <c r="H67" s="31">
        <f t="shared" si="21"/>
        <v>0.10172800000000001</v>
      </c>
      <c r="J67" s="42">
        <f>'Price list REWE '!H65</f>
        <v>14.6</v>
      </c>
      <c r="K67" s="42">
        <f t="shared" si="22"/>
        <v>0.12848000000000001</v>
      </c>
      <c r="M67" s="31">
        <f>'Price list ALDI Süd'!E65</f>
        <v>11.56</v>
      </c>
      <c r="N67" s="31">
        <f t="shared" si="23"/>
        <v>0.10172800000000001</v>
      </c>
      <c r="P67" s="42">
        <f>'Price list ALDI Süd'!H65</f>
        <v>14.6</v>
      </c>
      <c r="Q67" s="42">
        <f t="shared" si="24"/>
        <v>0.12848000000000001</v>
      </c>
    </row>
    <row r="68" spans="1:17" ht="17" x14ac:dyDescent="0.2">
      <c r="B68" s="1" t="s">
        <v>403</v>
      </c>
      <c r="D68" s="1">
        <f>10*C4</f>
        <v>8.8000000000000007</v>
      </c>
      <c r="E68" s="1">
        <f t="shared" si="20"/>
        <v>61.600000000000009</v>
      </c>
      <c r="G68" s="31">
        <f>'Price list REWE '!E66</f>
        <v>9.9499999999999993</v>
      </c>
      <c r="H68" s="31">
        <f t="shared" si="21"/>
        <v>8.7559999999999999E-2</v>
      </c>
      <c r="J68" s="42">
        <f>'Price list REWE '!H66</f>
        <v>13.27</v>
      </c>
      <c r="K68" s="42">
        <f t="shared" si="22"/>
        <v>0.116776</v>
      </c>
      <c r="M68" s="31">
        <f>'Price list ALDI Süd'!E66</f>
        <v>9.9499999999999993</v>
      </c>
      <c r="N68" s="31">
        <f t="shared" si="23"/>
        <v>8.7559999999999999E-2</v>
      </c>
      <c r="P68" s="42">
        <f>'Price list ALDI Süd'!H66</f>
        <v>13.28</v>
      </c>
      <c r="Q68" s="42">
        <f t="shared" si="24"/>
        <v>0.11686400000000001</v>
      </c>
    </row>
    <row r="69" spans="1:17" x14ac:dyDescent="0.2">
      <c r="A69" s="9">
        <v>9</v>
      </c>
      <c r="G69" s="31"/>
      <c r="H69" s="31"/>
      <c r="J69" s="42"/>
      <c r="K69" s="42"/>
      <c r="M69" s="31"/>
      <c r="N69" s="31"/>
      <c r="P69" s="42"/>
      <c r="Q69" s="42"/>
    </row>
    <row r="70" spans="1:17" s="4" customFormat="1" ht="17" x14ac:dyDescent="0.2">
      <c r="A70" s="12" t="s">
        <v>156</v>
      </c>
      <c r="B70" s="12" t="s">
        <v>157</v>
      </c>
      <c r="D70" s="4">
        <f>7*C4</f>
        <v>6.16</v>
      </c>
      <c r="E70" s="4">
        <f>D70*E9</f>
        <v>43.120000000000005</v>
      </c>
      <c r="F70" s="4">
        <f>15*C4</f>
        <v>13.2</v>
      </c>
    </row>
    <row r="71" spans="1:17" ht="17" x14ac:dyDescent="0.2">
      <c r="B71" s="1" t="s">
        <v>158</v>
      </c>
      <c r="D71" s="1">
        <f>7*C4</f>
        <v>6.16</v>
      </c>
      <c r="E71" s="1">
        <f>D71*7</f>
        <v>43.120000000000005</v>
      </c>
      <c r="G71" s="31">
        <f>'Price list REWE '!E69</f>
        <v>13.96</v>
      </c>
      <c r="H71" s="31">
        <f>G71/1000*D71</f>
        <v>8.5993600000000003E-2</v>
      </c>
      <c r="J71" s="42">
        <f>'Price list REWE '!H69</f>
        <v>15.9</v>
      </c>
      <c r="K71" s="42">
        <f>J71/1000*D71</f>
        <v>9.7944000000000003E-2</v>
      </c>
      <c r="M71" s="31">
        <f>'Price list ALDI Süd'!E69</f>
        <v>9.7799999999999994</v>
      </c>
      <c r="N71" s="31">
        <f>M71/1000*D71</f>
        <v>6.0244799999999994E-2</v>
      </c>
      <c r="P71" s="42">
        <f>'Price list ALDI Süd'!H69</f>
        <v>11.98</v>
      </c>
      <c r="Q71" s="42">
        <f>P71/1000*D71</f>
        <v>7.379680000000001E-2</v>
      </c>
    </row>
    <row r="72" spans="1:17" x14ac:dyDescent="0.2">
      <c r="A72" s="9">
        <v>1</v>
      </c>
      <c r="G72" s="31"/>
      <c r="H72" s="31"/>
      <c r="J72" s="42"/>
      <c r="K72" s="42"/>
      <c r="M72" s="31"/>
      <c r="N72" s="31"/>
      <c r="P72" s="42"/>
      <c r="Q72" s="42"/>
    </row>
    <row r="73" spans="1:17" s="4" customFormat="1" ht="17" x14ac:dyDescent="0.2">
      <c r="A73" s="12"/>
      <c r="B73" s="12" t="s">
        <v>161</v>
      </c>
      <c r="D73" s="4">
        <f>7*C4</f>
        <v>6.16</v>
      </c>
      <c r="E73" s="4">
        <f>D73*E9</f>
        <v>43.120000000000005</v>
      </c>
      <c r="F73" s="4">
        <f>15*C4</f>
        <v>13.2</v>
      </c>
    </row>
    <row r="74" spans="1:17" ht="17" x14ac:dyDescent="0.2">
      <c r="B74" s="1" t="s">
        <v>162</v>
      </c>
      <c r="D74" s="1">
        <f>7*C4</f>
        <v>6.16</v>
      </c>
      <c r="E74" s="1">
        <f>D74*7</f>
        <v>43.120000000000005</v>
      </c>
      <c r="G74" s="31">
        <f>'Price list REWE '!E72</f>
        <v>8.98</v>
      </c>
      <c r="H74" s="31">
        <f>G74/1000*D74</f>
        <v>5.5316799999999999E-2</v>
      </c>
      <c r="J74" s="42">
        <f>'Price list REWE '!H72</f>
        <v>29.9</v>
      </c>
      <c r="K74" s="42">
        <f>J74/1000*D74</f>
        <v>0.18418400000000001</v>
      </c>
      <c r="M74" s="31">
        <f>'Price list ALDI Süd'!E72</f>
        <v>8.98</v>
      </c>
      <c r="N74" s="31">
        <f>M74/1000*D74</f>
        <v>5.5316799999999999E-2</v>
      </c>
      <c r="P74" s="42">
        <f>'Price list ALDI Süd'!H72</f>
        <v>17.96</v>
      </c>
      <c r="Q74" s="42">
        <f>P74/1000*D74</f>
        <v>0.1106336</v>
      </c>
    </row>
    <row r="75" spans="1:17" x14ac:dyDescent="0.2">
      <c r="A75" s="9">
        <v>1</v>
      </c>
      <c r="G75" s="31"/>
      <c r="H75" s="31"/>
      <c r="J75" s="42"/>
      <c r="K75" s="42"/>
      <c r="M75" s="31"/>
      <c r="N75" s="31"/>
      <c r="P75" s="42"/>
      <c r="Q75" s="42"/>
    </row>
    <row r="76" spans="1:17" s="4" customFormat="1" ht="17" x14ac:dyDescent="0.2">
      <c r="A76" s="12"/>
      <c r="B76" s="12" t="s">
        <v>165</v>
      </c>
      <c r="D76" s="4">
        <f>29*C4</f>
        <v>25.52</v>
      </c>
      <c r="E76" s="4">
        <f>D76*E9</f>
        <v>178.64</v>
      </c>
      <c r="F76" s="4">
        <f>62*C4</f>
        <v>54.56</v>
      </c>
    </row>
    <row r="77" spans="1:17" ht="17" x14ac:dyDescent="0.2">
      <c r="B77" s="1" t="s">
        <v>166</v>
      </c>
      <c r="D77" s="4">
        <f>29*C4</f>
        <v>25.52</v>
      </c>
      <c r="E77" s="1">
        <f>D77*7</f>
        <v>178.64</v>
      </c>
      <c r="G77" s="31">
        <f>'Price list REWE '!E75</f>
        <v>9.98</v>
      </c>
      <c r="H77" s="31">
        <f>G77/1000*D77</f>
        <v>0.25468960000000002</v>
      </c>
      <c r="J77" s="42">
        <f>'Price list REWE '!H75</f>
        <v>34.9</v>
      </c>
      <c r="K77" s="42">
        <f>J77/1000*D77</f>
        <v>0.890648</v>
      </c>
      <c r="M77" s="31">
        <f>'Price list ALDI Süd'!E75</f>
        <v>9.98</v>
      </c>
      <c r="N77" s="31">
        <f>M77/1000*D77</f>
        <v>0.25468960000000002</v>
      </c>
      <c r="P77" s="42">
        <f>'Price list ALDI Süd'!H75</f>
        <v>24.99</v>
      </c>
      <c r="Q77" s="42">
        <f>P77/1000*D77</f>
        <v>0.6377448</v>
      </c>
    </row>
    <row r="78" spans="1:17" x14ac:dyDescent="0.2">
      <c r="A78" s="9">
        <v>1</v>
      </c>
      <c r="G78" s="31"/>
      <c r="H78" s="31"/>
      <c r="J78" s="42"/>
      <c r="K78" s="42"/>
      <c r="M78" s="31"/>
      <c r="N78" s="31"/>
      <c r="P78" s="42"/>
      <c r="Q78" s="42"/>
    </row>
    <row r="79" spans="1:17" s="4" customFormat="1" ht="17" x14ac:dyDescent="0.2">
      <c r="A79" s="12"/>
      <c r="B79" s="12" t="s">
        <v>169</v>
      </c>
      <c r="D79" s="4">
        <f>13*C4</f>
        <v>11.44</v>
      </c>
      <c r="E79" s="4">
        <f>D79*E9</f>
        <v>80.08</v>
      </c>
      <c r="F79" s="4">
        <f>19*C4</f>
        <v>16.72</v>
      </c>
    </row>
    <row r="80" spans="1:17" ht="17" x14ac:dyDescent="0.2">
      <c r="B80" s="1" t="s">
        <v>170</v>
      </c>
      <c r="D80" s="4">
        <f>13*C4</f>
        <v>11.44</v>
      </c>
      <c r="E80" s="1">
        <f>D80*7</f>
        <v>80.08</v>
      </c>
      <c r="G80" s="31">
        <f>'Price list REWE '!E78</f>
        <v>3.98</v>
      </c>
      <c r="H80" s="31">
        <f>G80/1000*D80</f>
        <v>4.5531200000000001E-2</v>
      </c>
      <c r="J80" s="42">
        <f>'Price list REWE '!H78</f>
        <v>7.9666666666666677</v>
      </c>
      <c r="K80" s="42">
        <f>J80/1000*D80</f>
        <v>9.1138666666666673E-2</v>
      </c>
      <c r="M80" s="31">
        <f>'Price list ALDI Süd'!E78</f>
        <v>3.98</v>
      </c>
      <c r="N80" s="31">
        <f>M80/1000*D80</f>
        <v>4.5531200000000001E-2</v>
      </c>
      <c r="P80" s="42">
        <f>'Price list ALDI Süd'!H78</f>
        <v>6.38</v>
      </c>
      <c r="Q80" s="42">
        <f>P80/1000*D80</f>
        <v>7.2987200000000002E-2</v>
      </c>
    </row>
    <row r="81" spans="1:17" x14ac:dyDescent="0.2">
      <c r="A81" s="9">
        <v>1</v>
      </c>
      <c r="G81" s="31"/>
      <c r="H81" s="31"/>
      <c r="J81" s="42"/>
      <c r="K81" s="42"/>
      <c r="M81" s="31"/>
      <c r="N81" s="31"/>
      <c r="P81" s="42"/>
      <c r="Q81" s="42"/>
    </row>
    <row r="82" spans="1:17" s="4" customFormat="1" ht="17" x14ac:dyDescent="0.2">
      <c r="A82" s="12"/>
      <c r="B82" s="12" t="s">
        <v>409</v>
      </c>
      <c r="D82" s="4">
        <f>28*C4</f>
        <v>24.64</v>
      </c>
      <c r="E82" s="4">
        <f>D82*E9</f>
        <v>172.48000000000002</v>
      </c>
      <c r="F82" s="4">
        <f>40*C4</f>
        <v>35.200000000000003</v>
      </c>
    </row>
    <row r="83" spans="1:17" ht="17" x14ac:dyDescent="0.2">
      <c r="B83" s="1" t="s">
        <v>174</v>
      </c>
      <c r="D83" s="1">
        <f>D82/3</f>
        <v>8.2133333333333329</v>
      </c>
      <c r="E83" s="1">
        <f>D83*7</f>
        <v>57.493333333333332</v>
      </c>
      <c r="G83" s="31">
        <f>'Price list REWE '!E81</f>
        <v>23.96</v>
      </c>
      <c r="H83" s="31">
        <f>G83/1000*D83</f>
        <v>0.19679146666666666</v>
      </c>
      <c r="J83" s="42">
        <f>'Price list REWE '!H81</f>
        <v>31.96</v>
      </c>
      <c r="K83" s="42">
        <f>J83/1000*D83</f>
        <v>0.26249813333333333</v>
      </c>
      <c r="M83" s="31">
        <f>'Price list ALDI Süd'!E81</f>
        <v>23.96</v>
      </c>
      <c r="N83" s="31">
        <f>M83/1000*D83</f>
        <v>0.19679146666666666</v>
      </c>
      <c r="P83" s="42">
        <f>'Price list ALDI Süd'!H81</f>
        <v>31.96</v>
      </c>
      <c r="Q83" s="42">
        <f>P83/1000*D83</f>
        <v>0.26249813333333333</v>
      </c>
    </row>
    <row r="84" spans="1:17" ht="17" x14ac:dyDescent="0.2">
      <c r="B84" s="1" t="s">
        <v>177</v>
      </c>
      <c r="D84" s="1">
        <f>D82/3</f>
        <v>8.2133333333333329</v>
      </c>
      <c r="E84" s="1">
        <f>D84*7</f>
        <v>57.493333333333332</v>
      </c>
      <c r="G84" s="31">
        <f>'Price list REWE '!E82</f>
        <v>7.49</v>
      </c>
      <c r="H84" s="31">
        <f>G84/1000*D84</f>
        <v>6.1517866666666664E-2</v>
      </c>
      <c r="J84" s="42">
        <f>'Price list REWE '!H82</f>
        <v>7.49</v>
      </c>
      <c r="K84" s="42">
        <f>J84/1000*D84</f>
        <v>6.1517866666666664E-2</v>
      </c>
      <c r="M84" s="31">
        <f>'Price list ALDI Süd'!E82</f>
        <v>7.49</v>
      </c>
      <c r="N84" s="31">
        <f>M84/1000*D84</f>
        <v>6.1517866666666664E-2</v>
      </c>
      <c r="P84" s="42">
        <f>'Price list ALDI Süd'!H82</f>
        <v>7.49</v>
      </c>
      <c r="Q84" s="42">
        <f>P84/1000*D84</f>
        <v>6.1517866666666664E-2</v>
      </c>
    </row>
    <row r="85" spans="1:17" ht="17" x14ac:dyDescent="0.2">
      <c r="B85" s="1" t="s">
        <v>179</v>
      </c>
      <c r="D85" s="1">
        <f>D82/3</f>
        <v>8.2133333333333329</v>
      </c>
      <c r="E85" s="1">
        <f>D85*7</f>
        <v>57.493333333333332</v>
      </c>
      <c r="G85" s="31">
        <f>'Price list REWE '!E83</f>
        <v>7.6410256410256414</v>
      </c>
      <c r="H85" s="31">
        <f>G85/1000*D85</f>
        <v>6.2758290598290606E-2</v>
      </c>
      <c r="J85" s="42">
        <f>'Price list REWE '!H83</f>
        <v>20.5625</v>
      </c>
      <c r="K85" s="42">
        <f>J85/1000*D85</f>
        <v>0.16888666666666666</v>
      </c>
      <c r="M85" s="31">
        <f>'Price list ALDI Süd'!E83</f>
        <v>7.6410256410256414</v>
      </c>
      <c r="N85" s="31">
        <f>M85/1000*D85</f>
        <v>6.2758290598290606E-2</v>
      </c>
      <c r="P85" s="42">
        <f>'Price list ALDI Süd'!H83</f>
        <v>20.5625</v>
      </c>
      <c r="Q85" s="42">
        <f>P85/1000*D85</f>
        <v>0.16888666666666666</v>
      </c>
    </row>
    <row r="86" spans="1:17" x14ac:dyDescent="0.2">
      <c r="A86" s="9">
        <v>3</v>
      </c>
      <c r="G86" s="31"/>
      <c r="H86" s="31"/>
      <c r="J86" s="42"/>
      <c r="K86" s="42"/>
      <c r="M86" s="31"/>
      <c r="N86" s="31"/>
      <c r="P86" s="42"/>
      <c r="Q86" s="42"/>
    </row>
    <row r="87" spans="1:17" s="4" customFormat="1" ht="17" x14ac:dyDescent="0.2">
      <c r="A87" s="12"/>
      <c r="B87" s="12" t="s">
        <v>411</v>
      </c>
      <c r="D87" s="4">
        <f>50*C4</f>
        <v>44</v>
      </c>
      <c r="E87" s="4">
        <f>D87*$E$9</f>
        <v>308</v>
      </c>
      <c r="F87" s="4">
        <f>172*C4</f>
        <v>151.36000000000001</v>
      </c>
    </row>
    <row r="88" spans="1:17" ht="17" x14ac:dyDescent="0.2">
      <c r="B88" s="1" t="s">
        <v>183</v>
      </c>
      <c r="D88" s="1">
        <f>$D$87/6</f>
        <v>7.333333333333333</v>
      </c>
      <c r="E88" s="1">
        <f t="shared" ref="E88:E93" si="25">D88*$E$9</f>
        <v>51.333333333333329</v>
      </c>
      <c r="G88" s="31">
        <f>'Price list REWE '!E86</f>
        <v>4.58</v>
      </c>
      <c r="H88" s="31">
        <f t="shared" ref="H88:H93" si="26">G88/1000*D88</f>
        <v>3.3586666666666667E-2</v>
      </c>
      <c r="J88" s="42">
        <f>'Price list REWE '!H86</f>
        <v>3.3</v>
      </c>
      <c r="K88" s="42">
        <f t="shared" ref="K88:K93" si="27">J88/1000*D88</f>
        <v>2.4199999999999999E-2</v>
      </c>
      <c r="M88" s="31">
        <f>'Price list ALDI Süd'!E86</f>
        <v>3.98</v>
      </c>
      <c r="N88" s="31">
        <f t="shared" ref="N88:N93" si="28">M88/1000*D88</f>
        <v>2.9186666666666666E-2</v>
      </c>
      <c r="P88" s="42">
        <f>'Price list ALDI Süd'!H86</f>
        <v>3.3</v>
      </c>
      <c r="Q88" s="42">
        <f t="shared" ref="Q88:Q93" si="29">P88/1000*D88</f>
        <v>2.4199999999999999E-2</v>
      </c>
    </row>
    <row r="89" spans="1:17" ht="17" x14ac:dyDescent="0.2">
      <c r="B89" s="1" t="s">
        <v>186</v>
      </c>
      <c r="D89" s="1">
        <f t="shared" ref="D89:D93" si="30">$D$87/6</f>
        <v>7.333333333333333</v>
      </c>
      <c r="E89" s="1">
        <f t="shared" si="25"/>
        <v>51.333333333333329</v>
      </c>
      <c r="G89" s="31">
        <f>'Price list REWE '!E87</f>
        <v>2.9749999999999996</v>
      </c>
      <c r="H89" s="31">
        <f t="shared" si="26"/>
        <v>2.1816666666666665E-2</v>
      </c>
      <c r="J89" s="42">
        <f>'Price list REWE '!H87</f>
        <v>3.5833333333333335</v>
      </c>
      <c r="K89" s="42">
        <f t="shared" si="27"/>
        <v>2.6277777777777778E-2</v>
      </c>
      <c r="M89" s="31">
        <f>'Price list ALDI Süd'!E87</f>
        <v>2.9749999999999996</v>
      </c>
      <c r="N89" s="31">
        <f t="shared" si="28"/>
        <v>2.1816666666666665E-2</v>
      </c>
      <c r="P89" s="42">
        <f>'Price list ALDI Süd'!H87</f>
        <v>3.5833333333333335</v>
      </c>
      <c r="Q89" s="42">
        <f t="shared" si="29"/>
        <v>2.6277777777777778E-2</v>
      </c>
    </row>
    <row r="90" spans="1:17" ht="17" x14ac:dyDescent="0.2">
      <c r="B90" s="1" t="s">
        <v>189</v>
      </c>
      <c r="D90" s="1">
        <f t="shared" si="30"/>
        <v>7.333333333333333</v>
      </c>
      <c r="E90" s="1">
        <f t="shared" si="25"/>
        <v>51.333333333333329</v>
      </c>
      <c r="G90" s="31">
        <f>'Price list REWE '!E88</f>
        <v>1.7249999999999999</v>
      </c>
      <c r="H90" s="31">
        <f t="shared" si="26"/>
        <v>1.265E-2</v>
      </c>
      <c r="J90" s="42">
        <f>'Price list REWE '!H88</f>
        <v>2.75</v>
      </c>
      <c r="K90" s="42">
        <f t="shared" si="27"/>
        <v>2.0166666666666666E-2</v>
      </c>
      <c r="M90" s="31">
        <f>'Price list ALDI Süd'!E88</f>
        <v>1.7249999999999999</v>
      </c>
      <c r="N90" s="31">
        <f t="shared" si="28"/>
        <v>1.265E-2</v>
      </c>
      <c r="P90" s="42">
        <f>'Price list ALDI Süd'!H88</f>
        <v>2.75</v>
      </c>
      <c r="Q90" s="42">
        <f t="shared" si="29"/>
        <v>2.0166666666666666E-2</v>
      </c>
    </row>
    <row r="91" spans="1:17" ht="17" x14ac:dyDescent="0.2">
      <c r="B91" s="1" t="s">
        <v>192</v>
      </c>
      <c r="D91" s="1">
        <f t="shared" si="30"/>
        <v>7.333333333333333</v>
      </c>
      <c r="E91" s="1">
        <f t="shared" si="25"/>
        <v>51.333333333333329</v>
      </c>
      <c r="G91" s="31">
        <f>'Price list REWE '!E89</f>
        <v>1.99</v>
      </c>
      <c r="H91" s="31">
        <f t="shared" si="26"/>
        <v>1.4593333333333333E-2</v>
      </c>
      <c r="J91" s="42">
        <f>'Price list REWE '!H89</f>
        <v>3.98</v>
      </c>
      <c r="K91" s="42">
        <f t="shared" si="27"/>
        <v>2.9186666666666666E-2</v>
      </c>
      <c r="M91" s="31">
        <f>'Price list ALDI Süd'!E89</f>
        <v>1.99</v>
      </c>
      <c r="N91" s="31">
        <f t="shared" si="28"/>
        <v>1.4593333333333333E-2</v>
      </c>
      <c r="P91" s="42">
        <f>'Price list ALDI Süd'!H89</f>
        <v>3.32</v>
      </c>
      <c r="Q91" s="42">
        <f t="shared" si="29"/>
        <v>2.4346666666666666E-2</v>
      </c>
    </row>
    <row r="92" spans="1:17" ht="17" x14ac:dyDescent="0.2">
      <c r="B92" s="1" t="s">
        <v>622</v>
      </c>
      <c r="D92" s="1">
        <f t="shared" si="30"/>
        <v>7.333333333333333</v>
      </c>
      <c r="E92" s="1">
        <f t="shared" si="25"/>
        <v>51.333333333333329</v>
      </c>
      <c r="G92" s="31">
        <f>'Price list REWE '!E90</f>
        <v>1.7249999999999999</v>
      </c>
      <c r="H92" s="31">
        <f t="shared" si="26"/>
        <v>1.265E-2</v>
      </c>
      <c r="J92" s="42">
        <f>'Price list REWE '!H90</f>
        <v>3</v>
      </c>
      <c r="K92" s="42">
        <f t="shared" si="27"/>
        <v>2.1999999999999999E-2</v>
      </c>
      <c r="M92" s="31">
        <f>'Price list ALDI Süd'!E90</f>
        <v>1.7249999999999999</v>
      </c>
      <c r="N92" s="31">
        <f t="shared" si="28"/>
        <v>1.265E-2</v>
      </c>
      <c r="P92" s="42">
        <f>'Price list ALDI Süd'!H90</f>
        <v>2.75</v>
      </c>
      <c r="Q92" s="42">
        <f t="shared" si="29"/>
        <v>2.0166666666666666E-2</v>
      </c>
    </row>
    <row r="93" spans="1:17" ht="17" x14ac:dyDescent="0.2">
      <c r="B93" s="1" t="s">
        <v>623</v>
      </c>
      <c r="D93" s="1">
        <f t="shared" si="30"/>
        <v>7.333333333333333</v>
      </c>
      <c r="E93" s="1">
        <f t="shared" si="25"/>
        <v>51.333333333333329</v>
      </c>
      <c r="G93" s="31">
        <f>'Price list REWE '!E91</f>
        <v>2.0441176470588234</v>
      </c>
      <c r="H93" s="31">
        <f t="shared" si="26"/>
        <v>1.4990196078431372E-2</v>
      </c>
      <c r="J93" s="42">
        <f>'Price list REWE '!H91</f>
        <v>2.0441176470588234</v>
      </c>
      <c r="K93" s="42">
        <f t="shared" si="27"/>
        <v>1.4990196078431372E-2</v>
      </c>
      <c r="M93" s="31">
        <f>'Price list ALDI Süd'!E91</f>
        <v>3.3559322033898304</v>
      </c>
      <c r="N93" s="31">
        <f t="shared" si="28"/>
        <v>2.4610169491525422E-2</v>
      </c>
      <c r="P93" s="42">
        <f>'Price list ALDI Süd'!H91</f>
        <v>3.3559322033898304</v>
      </c>
      <c r="Q93" s="42">
        <f t="shared" si="29"/>
        <v>2.4610169491525422E-2</v>
      </c>
    </row>
    <row r="94" spans="1:17" x14ac:dyDescent="0.2">
      <c r="A94" s="9">
        <v>6</v>
      </c>
      <c r="G94" s="31"/>
      <c r="H94" s="31"/>
      <c r="J94" s="42"/>
      <c r="K94" s="42"/>
      <c r="M94" s="31"/>
      <c r="N94" s="31"/>
      <c r="P94" s="42"/>
      <c r="Q94" s="42"/>
    </row>
    <row r="95" spans="1:17" s="4" customFormat="1" ht="17" x14ac:dyDescent="0.2">
      <c r="A95" s="12"/>
      <c r="B95" s="12" t="s">
        <v>200</v>
      </c>
      <c r="D95" s="4">
        <f>25*C4</f>
        <v>22</v>
      </c>
      <c r="E95" s="4">
        <f>D95*E9</f>
        <v>154</v>
      </c>
      <c r="F95" s="4">
        <f>112*C4</f>
        <v>98.56</v>
      </c>
    </row>
    <row r="96" spans="1:17" ht="17" x14ac:dyDescent="0.2">
      <c r="B96" s="1" t="s">
        <v>201</v>
      </c>
      <c r="D96" s="1">
        <f>D95/2</f>
        <v>11</v>
      </c>
      <c r="E96" s="1">
        <f>D96*7</f>
        <v>77</v>
      </c>
      <c r="G96" s="31">
        <f>'Price list REWE '!E94</f>
        <v>5.48</v>
      </c>
      <c r="H96" s="31">
        <f>G96/1000*D96</f>
        <v>6.0280000000000007E-2</v>
      </c>
      <c r="J96" s="42">
        <f>'Price list REWE '!H94</f>
        <v>5.48</v>
      </c>
      <c r="K96" s="42">
        <f>J96/1000*D96</f>
        <v>6.0280000000000007E-2</v>
      </c>
      <c r="M96" s="31">
        <f>'Price list ALDI Süd'!E94</f>
        <v>5.48</v>
      </c>
      <c r="N96" s="31">
        <f>M96/1000*D96</f>
        <v>6.0280000000000007E-2</v>
      </c>
      <c r="P96" s="42">
        <f>'Price list ALDI Süd'!H94</f>
        <v>5.48</v>
      </c>
      <c r="Q96" s="42">
        <f>P96/1000*D96</f>
        <v>6.0280000000000007E-2</v>
      </c>
    </row>
    <row r="97" spans="1:17" ht="17" x14ac:dyDescent="0.2">
      <c r="B97" s="1" t="s">
        <v>203</v>
      </c>
      <c r="D97" s="1">
        <f>D95/2</f>
        <v>11</v>
      </c>
      <c r="E97" s="1">
        <f>D97*7</f>
        <v>77</v>
      </c>
      <c r="G97" s="31">
        <f>'Price list REWE '!E95</f>
        <v>6.26</v>
      </c>
      <c r="H97" s="31">
        <f>G97/1000*D97</f>
        <v>6.8860000000000005E-2</v>
      </c>
      <c r="J97" s="42">
        <f>'Price list REWE '!H95</f>
        <v>6.26</v>
      </c>
      <c r="K97" s="42">
        <f>J97/1000*D97</f>
        <v>6.8860000000000005E-2</v>
      </c>
      <c r="M97" s="31">
        <f>'Price list ALDI Süd'!E95</f>
        <v>6.26</v>
      </c>
      <c r="N97" s="31">
        <f>M97/1000*D97</f>
        <v>6.8860000000000005E-2</v>
      </c>
      <c r="P97" s="42">
        <f>'Price list ALDI Süd'!H95</f>
        <v>6.26</v>
      </c>
      <c r="Q97" s="42">
        <f>P97/1000*D97</f>
        <v>6.8860000000000005E-2</v>
      </c>
    </row>
    <row r="98" spans="1:17" x14ac:dyDescent="0.2">
      <c r="A98" s="9">
        <v>2</v>
      </c>
      <c r="G98" s="31"/>
      <c r="H98" s="31"/>
      <c r="J98" s="42"/>
      <c r="K98" s="42"/>
      <c r="M98" s="31"/>
      <c r="N98" s="31"/>
      <c r="P98" s="42"/>
      <c r="Q98" s="42"/>
    </row>
    <row r="99" spans="1:17" s="4" customFormat="1" ht="17" x14ac:dyDescent="0.2">
      <c r="A99" s="12"/>
      <c r="B99" s="12" t="s">
        <v>205</v>
      </c>
    </row>
    <row r="100" spans="1:17" s="4" customFormat="1" ht="17" x14ac:dyDescent="0.2">
      <c r="A100" s="12"/>
      <c r="B100" s="12" t="s">
        <v>206</v>
      </c>
      <c r="F100" s="4">
        <f>142*C4</f>
        <v>124.96</v>
      </c>
    </row>
    <row r="101" spans="1:17" ht="17" x14ac:dyDescent="0.2">
      <c r="B101" s="1" t="s">
        <v>207</v>
      </c>
      <c r="D101" s="1">
        <f>25*C4</f>
        <v>22</v>
      </c>
      <c r="E101" s="1">
        <f>D101*E9</f>
        <v>154</v>
      </c>
      <c r="G101" s="31">
        <f>'Price list REWE '!E99</f>
        <v>4.9800000000000004</v>
      </c>
      <c r="H101" s="31">
        <f>G101/1000*D101</f>
        <v>0.10956</v>
      </c>
      <c r="J101" s="42">
        <f>'Price list REWE '!H99</f>
        <v>4.9800000000000004</v>
      </c>
      <c r="K101" s="42">
        <f>J101/1000*D101</f>
        <v>0.10956</v>
      </c>
      <c r="M101" s="31">
        <f>'Price list ALDI Süd'!E99</f>
        <v>4.9800000000000004</v>
      </c>
      <c r="N101" s="31">
        <f>M101/1000*D101</f>
        <v>0.10956</v>
      </c>
      <c r="P101" s="42">
        <f>'Price list ALDI Süd'!H99</f>
        <v>4.9800000000000004</v>
      </c>
      <c r="Q101" s="42">
        <f>P101/1000*D101</f>
        <v>0.10956</v>
      </c>
    </row>
    <row r="102" spans="1:17" x14ac:dyDescent="0.2">
      <c r="A102" s="9">
        <v>1</v>
      </c>
      <c r="G102" s="31"/>
      <c r="H102" s="31"/>
      <c r="J102" s="42"/>
      <c r="K102" s="42"/>
      <c r="M102" s="31"/>
      <c r="N102" s="31"/>
      <c r="P102" s="42"/>
      <c r="Q102" s="42"/>
    </row>
    <row r="103" spans="1:17" s="4" customFormat="1" ht="17" x14ac:dyDescent="0.2">
      <c r="A103" s="12"/>
      <c r="B103" s="12" t="s">
        <v>412</v>
      </c>
      <c r="D103" s="4">
        <f>25*C4</f>
        <v>22</v>
      </c>
      <c r="E103" s="8">
        <f>D103*7</f>
        <v>154</v>
      </c>
      <c r="F103" s="8">
        <f>149*C4</f>
        <v>131.12</v>
      </c>
    </row>
    <row r="104" spans="1:17" ht="17" x14ac:dyDescent="0.2">
      <c r="B104" s="1" t="s">
        <v>210</v>
      </c>
      <c r="D104" s="7">
        <f>D103/2</f>
        <v>11</v>
      </c>
      <c r="E104" s="1">
        <f>D104*7</f>
        <v>77</v>
      </c>
      <c r="G104" s="31">
        <f>'Price list REWE '!E102</f>
        <v>11.45</v>
      </c>
      <c r="H104" s="31">
        <f>G104/1000*D104</f>
        <v>0.12595000000000001</v>
      </c>
      <c r="J104" s="42">
        <f>'Price list REWE '!H102</f>
        <v>17.95</v>
      </c>
      <c r="K104" s="42">
        <f>J104/1000*D104</f>
        <v>0.19745000000000001</v>
      </c>
      <c r="M104" s="31">
        <f>'Price list ALDI Süd'!E102</f>
        <v>11.45</v>
      </c>
      <c r="N104" s="31">
        <f>M104/1000*D104</f>
        <v>0.12595000000000001</v>
      </c>
      <c r="P104" s="42">
        <f>'Price list ALDI Süd'!H102</f>
        <v>14.75</v>
      </c>
      <c r="Q104" s="42">
        <f>P104/1000*D104</f>
        <v>0.16225000000000001</v>
      </c>
    </row>
    <row r="105" spans="1:17" ht="17" x14ac:dyDescent="0.2">
      <c r="B105" s="1" t="s">
        <v>213</v>
      </c>
      <c r="D105" s="7">
        <f>D103/2</f>
        <v>11</v>
      </c>
      <c r="E105" s="1">
        <f>D105*7</f>
        <v>77</v>
      </c>
      <c r="F105" s="7"/>
      <c r="G105" s="31">
        <f>'Price list REWE '!E103</f>
        <v>11.45</v>
      </c>
      <c r="H105" s="31">
        <f>G105/1000*D105</f>
        <v>0.12595000000000001</v>
      </c>
      <c r="J105" s="42">
        <f>'Price list REWE '!H103</f>
        <v>11.45</v>
      </c>
      <c r="K105" s="42">
        <f>J105/1000*D105</f>
        <v>0.12595000000000001</v>
      </c>
      <c r="M105" s="31">
        <f>'Price list ALDI Süd'!E103</f>
        <v>11.45</v>
      </c>
      <c r="N105" s="31">
        <f>M105/1000*D105</f>
        <v>0.12595000000000001</v>
      </c>
      <c r="P105" s="42">
        <f>'Price list ALDI Süd'!H103</f>
        <v>11.45</v>
      </c>
      <c r="Q105" s="42">
        <f>P105/1000*D105</f>
        <v>0.12595000000000001</v>
      </c>
    </row>
    <row r="106" spans="1:17" x14ac:dyDescent="0.2">
      <c r="A106" s="9">
        <v>2</v>
      </c>
      <c r="D106" s="7"/>
      <c r="E106" s="7"/>
      <c r="F106" s="7"/>
      <c r="G106" s="31"/>
      <c r="H106" s="31"/>
      <c r="J106" s="42"/>
      <c r="K106" s="42"/>
      <c r="M106" s="31"/>
      <c r="N106" s="31"/>
      <c r="P106" s="42"/>
      <c r="Q106" s="42"/>
    </row>
    <row r="107" spans="1:17" s="4" customFormat="1" ht="17" customHeight="1" x14ac:dyDescent="0.2">
      <c r="A107" s="12" t="s">
        <v>413</v>
      </c>
      <c r="D107" s="8">
        <f>6.8*C4</f>
        <v>5.984</v>
      </c>
      <c r="E107" s="8">
        <f>D107*7</f>
        <v>41.887999999999998</v>
      </c>
      <c r="F107" s="8">
        <f>60*C4</f>
        <v>52.8</v>
      </c>
    </row>
    <row r="108" spans="1:17" ht="17" x14ac:dyDescent="0.2">
      <c r="B108" s="1" t="s">
        <v>216</v>
      </c>
      <c r="D108" s="1">
        <f>D107</f>
        <v>5.984</v>
      </c>
      <c r="E108" s="1">
        <f>D108*7</f>
        <v>41.887999999999998</v>
      </c>
      <c r="G108" s="31">
        <f>'Price list REWE '!E106</f>
        <v>2.98</v>
      </c>
      <c r="H108" s="31">
        <f>G108/1000*D108</f>
        <v>1.7832319999999999E-2</v>
      </c>
      <c r="J108" s="42">
        <f>'Price list REWE '!H106</f>
        <v>7.16</v>
      </c>
      <c r="K108" s="42">
        <f>J108/1000*D108</f>
        <v>4.2845440000000005E-2</v>
      </c>
      <c r="M108" s="31">
        <f>'Price list ALDI Süd'!E106</f>
        <v>3.38</v>
      </c>
      <c r="N108" s="31">
        <f>M108/1000*D108</f>
        <v>2.0225919999999998E-2</v>
      </c>
      <c r="P108" s="42">
        <f>'Price list ALDI Süd'!H106</f>
        <v>7.16</v>
      </c>
      <c r="Q108" s="42">
        <f>P108/1000*D108</f>
        <v>4.2845440000000005E-2</v>
      </c>
    </row>
    <row r="109" spans="1:17" x14ac:dyDescent="0.2">
      <c r="A109" s="9">
        <v>1</v>
      </c>
      <c r="G109" s="31"/>
      <c r="H109" s="31"/>
      <c r="J109" s="42"/>
      <c r="K109" s="42"/>
      <c r="M109" s="31"/>
      <c r="N109" s="31"/>
      <c r="P109" s="42"/>
      <c r="Q109" s="42"/>
    </row>
    <row r="110" spans="1:17" s="4" customFormat="1" ht="17" x14ac:dyDescent="0.2">
      <c r="A110" s="12"/>
      <c r="B110" s="12" t="s">
        <v>219</v>
      </c>
      <c r="D110" s="8">
        <f>40*C4</f>
        <v>35.200000000000003</v>
      </c>
      <c r="E110" s="8">
        <f>D110*7</f>
        <v>246.40000000000003</v>
      </c>
      <c r="F110" s="8">
        <f>354*C4</f>
        <v>311.52</v>
      </c>
    </row>
    <row r="111" spans="1:17" ht="17" x14ac:dyDescent="0.2">
      <c r="B111" s="1" t="s">
        <v>220</v>
      </c>
      <c r="D111" s="1">
        <f>$D$110/3</f>
        <v>11.733333333333334</v>
      </c>
      <c r="E111" s="7">
        <f>D111*7</f>
        <v>82.13333333333334</v>
      </c>
      <c r="G111" s="31">
        <f>'Price list REWE '!E109</f>
        <v>3.78</v>
      </c>
      <c r="H111" s="31">
        <f>G111/1000*D111</f>
        <v>4.4352000000000003E-2</v>
      </c>
      <c r="J111" s="42">
        <f>'Price list REWE '!H109</f>
        <v>3.5</v>
      </c>
      <c r="K111" s="42">
        <f>J111/1000*D111</f>
        <v>4.1066666666666668E-2</v>
      </c>
      <c r="M111" s="31">
        <f>'Price list ALDI Süd'!E109</f>
        <v>1.851</v>
      </c>
      <c r="N111" s="31">
        <f>M111/1000*D111</f>
        <v>2.1718400000000002E-2</v>
      </c>
      <c r="P111" s="42">
        <f>'Price list ALDI Süd'!H109</f>
        <v>3.7</v>
      </c>
      <c r="Q111" s="42">
        <f>P111/1000*D111</f>
        <v>4.3413333333333338E-2</v>
      </c>
    </row>
    <row r="112" spans="1:17" ht="17" x14ac:dyDescent="0.2">
      <c r="A112" s="1"/>
      <c r="B112" s="1" t="s">
        <v>223</v>
      </c>
      <c r="D112" s="1">
        <f>$D$110/3</f>
        <v>11.733333333333334</v>
      </c>
      <c r="E112" s="1">
        <f>D112*7</f>
        <v>82.13333333333334</v>
      </c>
      <c r="F112" s="7"/>
      <c r="G112" s="31">
        <f>'Price list REWE '!E110</f>
        <v>8.99</v>
      </c>
      <c r="H112" s="31">
        <f>G112/1000*D112</f>
        <v>0.10548266666666667</v>
      </c>
      <c r="J112" s="42">
        <f>'Price list REWE '!H110</f>
        <v>14.58</v>
      </c>
      <c r="K112" s="42">
        <f>J112/1000*D112</f>
        <v>0.171072</v>
      </c>
      <c r="M112" s="31">
        <f>'Price list ALDI Süd'!E110</f>
        <v>7.99</v>
      </c>
      <c r="N112" s="31">
        <f>M112/1000*D112</f>
        <v>9.3749333333333351E-2</v>
      </c>
      <c r="P112" s="42">
        <f>'Price list ALDI Süd'!H110</f>
        <v>9.32</v>
      </c>
      <c r="Q112" s="42">
        <f>P112/1000*D112</f>
        <v>0.10935466666666668</v>
      </c>
    </row>
    <row r="113" spans="1:17" ht="17" x14ac:dyDescent="0.2">
      <c r="A113" s="1"/>
      <c r="B113" s="1" t="s">
        <v>226</v>
      </c>
      <c r="D113" s="1">
        <f>$D$110/3</f>
        <v>11.733333333333334</v>
      </c>
      <c r="E113" s="1">
        <f>D113*7</f>
        <v>82.13333333333334</v>
      </c>
      <c r="F113" s="7"/>
      <c r="G113" s="31">
        <f>'Price list REWE '!E111</f>
        <v>10.36</v>
      </c>
      <c r="H113" s="31">
        <f>G113/1000*D113</f>
        <v>0.12155733333333334</v>
      </c>
      <c r="J113" s="42">
        <f>'Price list REWE '!H111</f>
        <v>15.96</v>
      </c>
      <c r="K113" s="42">
        <f>J113/1000*D113</f>
        <v>0.18726400000000004</v>
      </c>
      <c r="M113" s="31">
        <f>'Price list ALDI Süd'!E111</f>
        <v>6.76</v>
      </c>
      <c r="N113" s="31">
        <f>M113/1000*D113</f>
        <v>7.9317333333333337E-2</v>
      </c>
      <c r="P113" s="42">
        <f>'Price list ALDI Süd'!H111</f>
        <v>6.76</v>
      </c>
      <c r="Q113" s="42">
        <f>P113/1000*D113</f>
        <v>7.9317333333333337E-2</v>
      </c>
    </row>
    <row r="114" spans="1:17" x14ac:dyDescent="0.2">
      <c r="A114" s="9">
        <v>3</v>
      </c>
      <c r="F114" s="7"/>
      <c r="G114" s="31"/>
      <c r="H114" s="31"/>
      <c r="J114" s="42"/>
      <c r="K114" s="42"/>
      <c r="M114" s="31"/>
      <c r="N114" s="31"/>
      <c r="P114" s="42"/>
      <c r="Q114" s="42"/>
    </row>
    <row r="115" spans="1:17" s="4" customFormat="1" ht="17" x14ac:dyDescent="0.2">
      <c r="A115" s="12"/>
      <c r="B115" s="12" t="s">
        <v>229</v>
      </c>
      <c r="D115" s="8"/>
      <c r="E115" s="8"/>
      <c r="F115" s="8">
        <f>36*C4</f>
        <v>31.68</v>
      </c>
    </row>
    <row r="116" spans="1:17" ht="17" x14ac:dyDescent="0.2">
      <c r="B116" s="1" t="s">
        <v>230</v>
      </c>
      <c r="D116" s="7">
        <f>5*C4</f>
        <v>4.4000000000000004</v>
      </c>
      <c r="E116" s="7">
        <f>D116*7</f>
        <v>30.800000000000004</v>
      </c>
      <c r="G116" s="31">
        <f>'Price list REWE '!E114</f>
        <v>5.8</v>
      </c>
      <c r="H116" s="31">
        <f>G116/1000*D116</f>
        <v>2.5520000000000001E-2</v>
      </c>
      <c r="J116" s="42">
        <f>'Price list REWE '!H114</f>
        <v>11.96</v>
      </c>
      <c r="K116" s="42">
        <f>J116/1000*D116</f>
        <v>5.2624000000000004E-2</v>
      </c>
      <c r="M116" s="31">
        <f>'Price list ALDI Süd'!E114</f>
        <v>5.8</v>
      </c>
      <c r="N116" s="31">
        <f>M116/1000*D116</f>
        <v>2.5520000000000001E-2</v>
      </c>
      <c r="P116" s="42">
        <f>'Price list ALDI Süd'!H114</f>
        <v>11.96</v>
      </c>
      <c r="Q116" s="42">
        <f>P116/1000*D116</f>
        <v>5.2624000000000004E-2</v>
      </c>
    </row>
    <row r="117" spans="1:17" x14ac:dyDescent="0.2">
      <c r="A117" s="9">
        <v>1</v>
      </c>
      <c r="D117" s="7"/>
      <c r="E117" s="7"/>
      <c r="F117" s="7"/>
      <c r="G117" s="31"/>
      <c r="H117" s="31"/>
      <c r="J117" s="42"/>
      <c r="K117" s="42"/>
      <c r="M117" s="31"/>
      <c r="N117" s="31"/>
      <c r="P117" s="42"/>
      <c r="Q117" s="42"/>
    </row>
    <row r="118" spans="1:17" s="4" customFormat="1" ht="17" x14ac:dyDescent="0.2">
      <c r="A118" s="12" t="s">
        <v>414</v>
      </c>
      <c r="D118" s="4">
        <f>31*C4</f>
        <v>27.28</v>
      </c>
      <c r="E118" s="4">
        <f>D118*E9</f>
        <v>190.96</v>
      </c>
      <c r="F118" s="4">
        <f>120*C4</f>
        <v>105.6</v>
      </c>
    </row>
    <row r="119" spans="1:17" ht="17" x14ac:dyDescent="0.2">
      <c r="A119" s="20"/>
      <c r="B119" s="1" t="s">
        <v>234</v>
      </c>
      <c r="D119" s="1">
        <f>D118/3</f>
        <v>9.0933333333333337</v>
      </c>
      <c r="E119" s="1">
        <f>D119*7</f>
        <v>63.653333333333336</v>
      </c>
      <c r="G119" s="31">
        <f>'Price list REWE '!E117</f>
        <v>1.49</v>
      </c>
      <c r="H119" s="31">
        <f>G119/1000*D119</f>
        <v>1.3549066666666667E-2</v>
      </c>
      <c r="J119" s="42">
        <f>'Price list REWE '!H117</f>
        <v>2.59</v>
      </c>
      <c r="K119" s="42">
        <f>J119/1000*D119</f>
        <v>2.3551733333333331E-2</v>
      </c>
      <c r="M119" s="31">
        <f>'Price list ALDI Süd'!E117</f>
        <v>1.49</v>
      </c>
      <c r="N119" s="31">
        <f>M119/1000*D119</f>
        <v>1.3549066666666667E-2</v>
      </c>
      <c r="P119" s="42">
        <f>'Price list ALDI Süd'!H117</f>
        <v>2.59</v>
      </c>
      <c r="Q119" s="42">
        <f>P119/1000*D119</f>
        <v>2.3551733333333331E-2</v>
      </c>
    </row>
    <row r="120" spans="1:17" ht="17" x14ac:dyDescent="0.2">
      <c r="B120" s="1" t="s">
        <v>237</v>
      </c>
      <c r="D120" s="1">
        <f>D118/3</f>
        <v>9.0933333333333337</v>
      </c>
      <c r="E120" s="1">
        <f>D120*7</f>
        <v>63.653333333333336</v>
      </c>
      <c r="G120" s="31">
        <f>'Price list REWE '!E118</f>
        <v>5.9</v>
      </c>
      <c r="H120" s="31">
        <f>G120/1000*D120</f>
        <v>5.3650666666666673E-2</v>
      </c>
      <c r="J120" s="42">
        <f>'Price list REWE '!H118</f>
        <v>12.9</v>
      </c>
      <c r="K120" s="42">
        <f>J120/1000*D120</f>
        <v>0.11730400000000001</v>
      </c>
      <c r="M120" s="31">
        <f>'Price list ALDI Süd'!E118</f>
        <v>5.9</v>
      </c>
      <c r="N120" s="31">
        <f>M120/1000*D120</f>
        <v>5.3650666666666673E-2</v>
      </c>
      <c r="P120" s="42">
        <f>'Price list ALDI Süd'!H118</f>
        <v>12.9</v>
      </c>
      <c r="Q120" s="42">
        <f>P120/1000*D120</f>
        <v>0.11730400000000001</v>
      </c>
    </row>
    <row r="121" spans="1:17" ht="17" x14ac:dyDescent="0.2">
      <c r="B121" s="1" t="s">
        <v>240</v>
      </c>
      <c r="D121" s="1">
        <f>D118/3</f>
        <v>9.0933333333333337</v>
      </c>
      <c r="E121" s="1">
        <f>D121*7</f>
        <v>63.653333333333336</v>
      </c>
      <c r="G121" s="31">
        <f>'Price list REWE '!E119</f>
        <v>3.66</v>
      </c>
      <c r="H121" s="31">
        <f>G121/1000*D121</f>
        <v>3.3281600000000001E-2</v>
      </c>
      <c r="J121" s="42">
        <f>'Price list REWE '!H119</f>
        <v>14.9</v>
      </c>
      <c r="K121" s="42">
        <f>J121/1000*D121</f>
        <v>0.13549066666666668</v>
      </c>
      <c r="M121" s="31">
        <f>'Price list ALDI Süd'!E119</f>
        <v>3.96</v>
      </c>
      <c r="N121" s="31">
        <f>M121/1000*D121</f>
        <v>3.6009600000000003E-2</v>
      </c>
      <c r="P121" s="42">
        <f>'Price list ALDI Süd'!H119</f>
        <v>9.4499999999999993</v>
      </c>
      <c r="Q121" s="42">
        <f>P121/1000*D121</f>
        <v>8.5932000000000008E-2</v>
      </c>
    </row>
    <row r="122" spans="1:17" x14ac:dyDescent="0.2">
      <c r="A122" s="9">
        <v>3</v>
      </c>
      <c r="B122" s="15"/>
      <c r="G122" s="31"/>
      <c r="H122" s="31"/>
      <c r="J122" s="42"/>
      <c r="K122" s="42"/>
      <c r="M122" s="31"/>
      <c r="N122" s="31"/>
      <c r="P122" s="42"/>
      <c r="Q122" s="42"/>
    </row>
    <row r="123" spans="1:17" s="4" customFormat="1" ht="17" x14ac:dyDescent="0.2">
      <c r="A123" s="12" t="s">
        <v>615</v>
      </c>
      <c r="D123" s="4">
        <f>1500*C4</f>
        <v>1320</v>
      </c>
      <c r="E123" s="4">
        <f>D123*E9</f>
        <v>9240</v>
      </c>
    </row>
    <row r="124" spans="1:17" ht="17" x14ac:dyDescent="0.2">
      <c r="B124" s="1" t="s">
        <v>415</v>
      </c>
      <c r="D124" s="1">
        <f>D123-D125</f>
        <v>920</v>
      </c>
      <c r="E124" s="1">
        <f>D124*7</f>
        <v>6440</v>
      </c>
      <c r="G124" s="31">
        <f>'Price list REWE '!E129</f>
        <v>0.18</v>
      </c>
      <c r="H124" s="31">
        <f>G124/1000*D124</f>
        <v>0.1656</v>
      </c>
      <c r="J124" s="42">
        <f>'Price list REWE '!H122</f>
        <v>0.18</v>
      </c>
      <c r="K124" s="42">
        <f>J124/1000*D124</f>
        <v>0.1656</v>
      </c>
      <c r="M124" s="31">
        <f>'Price list ALDI Süd'!E122</f>
        <v>0.18</v>
      </c>
      <c r="N124" s="31">
        <f>M124/1000*D124</f>
        <v>0.1656</v>
      </c>
      <c r="P124" s="42">
        <f>'Price list ALDI Süd'!H122</f>
        <v>0.18</v>
      </c>
      <c r="Q124" s="42">
        <f>P124/1000*D124</f>
        <v>0.1656</v>
      </c>
    </row>
    <row r="125" spans="1:17" ht="17" x14ac:dyDescent="0.2">
      <c r="B125" s="1" t="s">
        <v>417</v>
      </c>
      <c r="D125" s="1">
        <v>400</v>
      </c>
      <c r="E125" s="1">
        <f>D125*7</f>
        <v>2800</v>
      </c>
      <c r="G125" s="31">
        <f>'Price list REWE '!E130</f>
        <v>12.27</v>
      </c>
      <c r="H125" s="31">
        <f>G125/1000*(56/25)*2</f>
        <v>5.49696E-2</v>
      </c>
      <c r="J125" s="42">
        <f>'Price list REWE '!H124</f>
        <v>67.25</v>
      </c>
      <c r="K125" s="42">
        <f>J125/1000*(40/20)*2</f>
        <v>0.26900000000000002</v>
      </c>
      <c r="M125" s="31">
        <f>'Price list ALDI Süd'!E124</f>
        <v>12.27</v>
      </c>
      <c r="N125" s="31">
        <f>M125/1000*(56.25/25)*2</f>
        <v>5.5215E-2</v>
      </c>
      <c r="P125" s="42">
        <f>'Price list ALDI Süd'!H124</f>
        <v>67.25</v>
      </c>
      <c r="Q125" s="42">
        <f>P125/1000*(40/20)*2</f>
        <v>0.26900000000000002</v>
      </c>
    </row>
    <row r="126" spans="1:17" ht="17" x14ac:dyDescent="0.2">
      <c r="B126" s="1" t="s">
        <v>420</v>
      </c>
      <c r="C126" s="15"/>
      <c r="D126" s="1">
        <f>E126/7</f>
        <v>28.571428571428573</v>
      </c>
      <c r="E126" s="1">
        <v>200</v>
      </c>
      <c r="G126" s="31">
        <f>'Price list REWE '!E131</f>
        <v>0.39</v>
      </c>
      <c r="H126" s="31">
        <f>G126/1000*D126</f>
        <v>1.1142857142857144E-2</v>
      </c>
      <c r="J126" s="63">
        <f>'Price list REWE '!H131</f>
        <v>3.79</v>
      </c>
      <c r="K126" s="42">
        <f>J126/1000*D126</f>
        <v>0.10828571428571429</v>
      </c>
      <c r="M126" s="31">
        <f>'Price list ALDI Süd'!E131</f>
        <v>0.39</v>
      </c>
      <c r="N126" s="31">
        <f>M126/1000*D126</f>
        <v>1.1142857142857144E-2</v>
      </c>
      <c r="P126" s="42">
        <f>'Price list ALDI Süd'!H131</f>
        <v>3.79</v>
      </c>
      <c r="Q126" s="42">
        <f>P126/1000*D126</f>
        <v>0.10828571428571429</v>
      </c>
    </row>
    <row r="127" spans="1:17" ht="17" x14ac:dyDescent="0.2">
      <c r="B127" s="1" t="s">
        <v>421</v>
      </c>
      <c r="C127" s="15"/>
      <c r="D127" s="1">
        <f>E127/7</f>
        <v>28.571428571428573</v>
      </c>
      <c r="E127" s="1">
        <v>200</v>
      </c>
      <c r="G127" s="31">
        <f>'Price list REWE '!E132</f>
        <v>1.29</v>
      </c>
      <c r="H127" s="31">
        <f>G127/1000*D127</f>
        <v>3.6857142857142866E-2</v>
      </c>
      <c r="J127" s="64">
        <f>'Price list REWE '!H132</f>
        <v>2.39</v>
      </c>
      <c r="K127" s="42">
        <f>J127/1000*D127</f>
        <v>6.8285714285714297E-2</v>
      </c>
      <c r="M127" s="31">
        <f>'Price list ALDI Süd'!E132</f>
        <v>1.29</v>
      </c>
      <c r="N127" s="31">
        <f>M127/1000*D127</f>
        <v>3.6857142857142866E-2</v>
      </c>
      <c r="P127" s="42">
        <f>'Price list ALDI Süd'!H132</f>
        <v>3.32</v>
      </c>
      <c r="Q127" s="42">
        <f>P127/1000*D127</f>
        <v>9.4857142857142862E-2</v>
      </c>
    </row>
    <row r="128" spans="1:17" x14ac:dyDescent="0.2">
      <c r="A128" s="9">
        <v>4</v>
      </c>
    </row>
    <row r="130" spans="1:19" s="4" customFormat="1" ht="17" x14ac:dyDescent="0.2">
      <c r="A130" s="185" t="s">
        <v>431</v>
      </c>
      <c r="F130" s="12" t="s">
        <v>423</v>
      </c>
      <c r="G130" s="91"/>
      <c r="H130" s="185" t="s">
        <v>432</v>
      </c>
      <c r="I130" s="81"/>
      <c r="J130" s="81"/>
      <c r="K130" s="185" t="s">
        <v>432</v>
      </c>
      <c r="L130" s="220"/>
      <c r="M130" s="220"/>
      <c r="N130" s="185" t="s">
        <v>432</v>
      </c>
      <c r="O130" s="220"/>
      <c r="P130" s="220"/>
      <c r="Q130" s="185" t="s">
        <v>432</v>
      </c>
      <c r="R130" s="255"/>
      <c r="S130" s="92"/>
    </row>
    <row r="131" spans="1:19" ht="17" x14ac:dyDescent="0.2">
      <c r="A131" s="274">
        <f>A128+A122+A117+A114+A106+A102+A98+A94+A86+A81+A78+A75+A72+A69+A58+A46+A39+A19+A16+A31+A109</f>
        <v>74</v>
      </c>
      <c r="B131" s="65"/>
      <c r="D131" s="9"/>
      <c r="E131" s="9"/>
      <c r="F131" s="23">
        <f>F118+F115+F110+F107+F103+F100+F95+F87+F82+F79+F76+F73+F70+F59+F47+F40+F32+F22+F17+F10</f>
        <v>2202.64</v>
      </c>
      <c r="G131" s="86"/>
      <c r="H131" s="23" t="s">
        <v>433</v>
      </c>
      <c r="I131" s="23"/>
      <c r="J131" s="23"/>
      <c r="K131" s="23" t="s">
        <v>433</v>
      </c>
      <c r="L131" s="23"/>
      <c r="M131" s="23"/>
      <c r="N131" s="23" t="s">
        <v>433</v>
      </c>
      <c r="O131" s="23"/>
      <c r="P131" s="23"/>
      <c r="Q131" s="23" t="s">
        <v>433</v>
      </c>
      <c r="R131" s="65"/>
    </row>
    <row r="132" spans="1:19" x14ac:dyDescent="0.2">
      <c r="A132" s="148"/>
      <c r="E132" s="86"/>
      <c r="G132" s="115"/>
      <c r="H132" s="23">
        <f>SUM(H11:H127)</f>
        <v>4.2926003858478623</v>
      </c>
      <c r="I132" s="23"/>
      <c r="J132" s="23"/>
      <c r="K132" s="23">
        <f>SUM(K11:K127)</f>
        <v>7.1577779943242366</v>
      </c>
      <c r="L132" s="23"/>
      <c r="M132" s="23"/>
      <c r="N132" s="23">
        <f>SUM(N11:N127)</f>
        <v>4.1704481571258833</v>
      </c>
      <c r="O132" s="23"/>
      <c r="P132" s="23"/>
      <c r="Q132" s="23">
        <f>SUM(Q11:Q127)</f>
        <v>6.3235297533183825</v>
      </c>
      <c r="R132" s="65"/>
    </row>
    <row r="133" spans="1:19" x14ac:dyDescent="0.2">
      <c r="F133" s="94"/>
      <c r="G133" s="86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65"/>
    </row>
    <row r="134" spans="1:19" ht="17" x14ac:dyDescent="0.2">
      <c r="G134" s="86"/>
      <c r="H134" s="84" t="s">
        <v>434</v>
      </c>
      <c r="I134" s="84"/>
      <c r="J134" s="84"/>
      <c r="K134" s="84" t="s">
        <v>434</v>
      </c>
      <c r="L134" s="84"/>
      <c r="M134" s="84"/>
      <c r="N134" s="84" t="s">
        <v>434</v>
      </c>
      <c r="O134" s="84"/>
      <c r="P134" s="84"/>
      <c r="Q134" s="84" t="s">
        <v>434</v>
      </c>
      <c r="R134" s="65"/>
    </row>
    <row r="135" spans="1:19" x14ac:dyDescent="0.2">
      <c r="G135" s="86"/>
      <c r="H135" s="84">
        <f>H132*30</f>
        <v>128.77801157543587</v>
      </c>
      <c r="I135" s="84"/>
      <c r="J135" s="84"/>
      <c r="K135" s="84">
        <f>K132*30</f>
        <v>214.7333398297271</v>
      </c>
      <c r="L135" s="84"/>
      <c r="M135" s="84"/>
      <c r="N135" s="84">
        <f>N132*30</f>
        <v>125.1134447137765</v>
      </c>
      <c r="O135" s="84"/>
      <c r="P135" s="84"/>
      <c r="Q135" s="84">
        <f>Q132*30</f>
        <v>189.70589259955148</v>
      </c>
      <c r="R135" s="65"/>
    </row>
    <row r="136" spans="1:19" x14ac:dyDescent="0.2">
      <c r="G136" s="86"/>
      <c r="H136" s="84"/>
      <c r="I136" s="84"/>
      <c r="J136" s="84"/>
      <c r="K136" s="84"/>
      <c r="L136" s="84"/>
      <c r="M136" s="84"/>
      <c r="N136" s="84"/>
      <c r="O136" s="84"/>
      <c r="P136" s="84"/>
      <c r="Q136" s="84"/>
      <c r="R136" s="65"/>
    </row>
    <row r="137" spans="1:19" x14ac:dyDescent="0.2">
      <c r="H137" s="148"/>
      <c r="I137" s="148"/>
      <c r="J137" s="148"/>
      <c r="K137" s="148"/>
      <c r="L137" s="148"/>
      <c r="M137" s="148"/>
      <c r="N137" s="148"/>
      <c r="O137" s="148"/>
      <c r="P137" s="148"/>
      <c r="Q137" s="148"/>
    </row>
  </sheetData>
  <mergeCells count="9">
    <mergeCell ref="A1:Q1"/>
    <mergeCell ref="A2:Q2"/>
    <mergeCell ref="G4:K5"/>
    <mergeCell ref="M4:Q5"/>
    <mergeCell ref="G6:H7"/>
    <mergeCell ref="J6:K7"/>
    <mergeCell ref="M6:N7"/>
    <mergeCell ref="P6:Q7"/>
    <mergeCell ref="A4:B4"/>
  </mergeCells>
  <pageMargins left="0.7" right="0.7" top="0.78740157499999996" bottom="0.78740157499999996" header="0.3" footer="0.3"/>
  <pageSetup paperSize="9" scale="2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0C622-B31F-7F48-932D-F7F20A549D07}">
  <sheetPr codeName="Tabelle4">
    <tabColor rgb="FFE1CFF3"/>
    <pageSetUpPr fitToPage="1"/>
  </sheetPr>
  <dimension ref="A1:S137"/>
  <sheetViews>
    <sheetView topLeftCell="B1" zoomScale="75" zoomScaleNormal="80" workbookViewId="0">
      <pane ySplit="9" topLeftCell="A10" activePane="bottomLeft" state="frozen"/>
      <selection activeCell="B1" sqref="B1"/>
      <selection pane="bottomLeft" sqref="A1:Q1"/>
    </sheetView>
  </sheetViews>
  <sheetFormatPr baseColWidth="10" defaultColWidth="10.83203125" defaultRowHeight="16" x14ac:dyDescent="0.2"/>
  <cols>
    <col min="1" max="1" width="26.1640625" style="9" customWidth="1"/>
    <col min="2" max="2" width="29.5" style="1" customWidth="1"/>
    <col min="3" max="3" width="11.83203125" style="1" customWidth="1"/>
    <col min="4" max="4" width="19.33203125" style="1" customWidth="1"/>
    <col min="5" max="5" width="22.6640625" style="1" customWidth="1"/>
    <col min="6" max="6" width="15.1640625" style="1" customWidth="1"/>
    <col min="7" max="8" width="16" style="1" customWidth="1"/>
    <col min="9" max="10" width="15.5" style="1" customWidth="1"/>
    <col min="11" max="12" width="15.6640625" style="1" customWidth="1"/>
    <col min="13" max="13" width="15.33203125" style="1" customWidth="1"/>
    <col min="14" max="14" width="15.1640625" style="1" customWidth="1"/>
    <col min="15" max="15" width="13" style="1" bestFit="1" customWidth="1"/>
    <col min="16" max="16" width="13" style="1" customWidth="1"/>
    <col min="17" max="17" width="13" style="1" bestFit="1" customWidth="1"/>
    <col min="18" max="16384" width="10.83203125" style="1"/>
  </cols>
  <sheetData>
    <row r="1" spans="1:17" ht="20" customHeight="1" x14ac:dyDescent="0.2">
      <c r="A1" s="420" t="s">
        <v>631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23" customHeight="1" x14ac:dyDescent="0.2">
      <c r="A2" s="420" t="s">
        <v>437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x14ac:dyDescent="0.2">
      <c r="A3" s="125"/>
      <c r="B3" s="126"/>
      <c r="C3" s="126"/>
      <c r="D3" s="126"/>
      <c r="E3" s="126"/>
      <c r="F3" s="13"/>
    </row>
    <row r="4" spans="1:17" x14ac:dyDescent="0.2">
      <c r="A4" s="430" t="s">
        <v>426</v>
      </c>
      <c r="B4" s="431"/>
      <c r="C4" s="9">
        <f>2100/2500</f>
        <v>0.84</v>
      </c>
      <c r="D4" s="114"/>
      <c r="E4" s="90"/>
      <c r="F4" s="13"/>
    </row>
    <row r="5" spans="1:17" x14ac:dyDescent="0.2">
      <c r="B5" s="9"/>
      <c r="C5" s="3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ht="17" customHeight="1" x14ac:dyDescent="0.2">
      <c r="B6" s="9"/>
      <c r="C6" s="3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B7" s="9"/>
      <c r="C7" s="3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customHeight="1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438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  <c r="G10" s="30"/>
      <c r="H10" s="30"/>
      <c r="J10" s="41"/>
      <c r="K10" s="41"/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194.88</v>
      </c>
      <c r="E11" s="4">
        <f>D11*$E$10</f>
        <v>1364.1599999999999</v>
      </c>
      <c r="F11" s="4">
        <f>811*C4</f>
        <v>681.24</v>
      </c>
    </row>
    <row r="12" spans="1:17" ht="19" customHeight="1" x14ac:dyDescent="0.2">
      <c r="B12" s="1" t="s">
        <v>24</v>
      </c>
      <c r="D12" s="1">
        <f>30*C4</f>
        <v>25.2</v>
      </c>
      <c r="E12" s="1">
        <f t="shared" ref="E12:E16" si="0">D12*$E$10</f>
        <v>176.4</v>
      </c>
      <c r="G12" s="31">
        <f>'Price list REWE '!E9</f>
        <v>2.89</v>
      </c>
      <c r="H12" s="31">
        <f>G12/1000*D12</f>
        <v>7.2828000000000004E-2</v>
      </c>
      <c r="J12" s="42">
        <f>'Price list REWE '!H9</f>
        <v>2.89</v>
      </c>
      <c r="K12" s="42">
        <f>J12/1000*D12</f>
        <v>7.2828000000000004E-2</v>
      </c>
      <c r="M12" s="31">
        <f>'Price list ALDI Süd'!E9</f>
        <v>2.89</v>
      </c>
      <c r="N12" s="31">
        <f>M12/1000*D12</f>
        <v>7.2828000000000004E-2</v>
      </c>
      <c r="P12" s="42">
        <f>'Price list ALDI Süd'!H9</f>
        <v>2.89</v>
      </c>
      <c r="Q12" s="42">
        <f>P12/1000*D12</f>
        <v>7.2828000000000004E-2</v>
      </c>
    </row>
    <row r="13" spans="1:17" ht="17" x14ac:dyDescent="0.2">
      <c r="B13" s="1" t="s">
        <v>27</v>
      </c>
      <c r="D13" s="1">
        <f>50*C4</f>
        <v>42</v>
      </c>
      <c r="E13" s="1">
        <f t="shared" si="0"/>
        <v>294</v>
      </c>
      <c r="G13" s="31">
        <f>'Price list REWE '!E10</f>
        <v>1.58</v>
      </c>
      <c r="H13" s="31">
        <f>G13/1000*D13</f>
        <v>6.6360000000000002E-2</v>
      </c>
      <c r="J13" s="42">
        <f>'Price list REWE '!H10</f>
        <v>4.38</v>
      </c>
      <c r="K13" s="42">
        <f>J13/1000*D13</f>
        <v>0.18396000000000001</v>
      </c>
      <c r="M13" s="31">
        <f>'Price list ALDI Süd'!E10</f>
        <v>3.48</v>
      </c>
      <c r="N13" s="31">
        <f>M13/1000*D13</f>
        <v>0.14616000000000001</v>
      </c>
      <c r="P13" s="42">
        <f>'Price list ALDI Süd'!H10</f>
        <v>4.38</v>
      </c>
      <c r="Q13" s="42">
        <f>P13/1000*D13</f>
        <v>0.18396000000000001</v>
      </c>
    </row>
    <row r="14" spans="1:17" ht="17" x14ac:dyDescent="0.2">
      <c r="B14" s="1" t="s">
        <v>30</v>
      </c>
      <c r="D14" s="1">
        <f>50*C4</f>
        <v>42</v>
      </c>
      <c r="E14" s="1">
        <f t="shared" si="0"/>
        <v>294</v>
      </c>
      <c r="G14" s="31">
        <f>'Price list REWE '!E11</f>
        <v>2.13</v>
      </c>
      <c r="H14" s="31">
        <f>G14/1000*D14</f>
        <v>8.9459999999999998E-2</v>
      </c>
      <c r="J14" s="42">
        <f>'Price list REWE '!H11</f>
        <v>4.25</v>
      </c>
      <c r="K14" s="42">
        <f>J14/1000*D14</f>
        <v>0.17850000000000002</v>
      </c>
      <c r="M14" s="31">
        <f>'Price list ALDI Süd'!E11</f>
        <v>2.84</v>
      </c>
      <c r="N14" s="31">
        <f>M14/1000*D14</f>
        <v>0.11927999999999998</v>
      </c>
      <c r="P14" s="42">
        <f>'Price list ALDI Süd'!H11</f>
        <v>5.25</v>
      </c>
      <c r="Q14" s="42">
        <f>P14/1000*D14</f>
        <v>0.2205</v>
      </c>
    </row>
    <row r="15" spans="1:17" ht="17" x14ac:dyDescent="0.2">
      <c r="B15" s="1" t="s">
        <v>33</v>
      </c>
      <c r="D15" s="1">
        <f>40*C4</f>
        <v>33.6</v>
      </c>
      <c r="E15" s="1">
        <f>D15*$E$10</f>
        <v>235.20000000000002</v>
      </c>
      <c r="G15" s="31">
        <f>'Price list REWE '!E12</f>
        <v>1.58</v>
      </c>
      <c r="H15" s="31">
        <f>G15/1000*D15</f>
        <v>5.3088000000000003E-2</v>
      </c>
      <c r="J15" s="42">
        <f>'Price list REWE '!H12</f>
        <v>1.98</v>
      </c>
      <c r="K15" s="42">
        <f>J15/1000*D15</f>
        <v>6.6528000000000004E-2</v>
      </c>
      <c r="M15" s="31">
        <f>'Price list ALDI Süd'!E12</f>
        <v>1.58</v>
      </c>
      <c r="N15" s="31">
        <f>M15/1000*D15</f>
        <v>5.3088000000000003E-2</v>
      </c>
      <c r="P15" s="42">
        <f>'Price list ALDI Süd'!H12</f>
        <v>1.9</v>
      </c>
      <c r="Q15" s="42">
        <f>P15/1000*D15</f>
        <v>6.3840000000000008E-2</v>
      </c>
    </row>
    <row r="16" spans="1:17" ht="17" x14ac:dyDescent="0.2">
      <c r="B16" s="1" t="s">
        <v>36</v>
      </c>
      <c r="D16" s="1">
        <f>62*C4</f>
        <v>52.08</v>
      </c>
      <c r="E16" s="1">
        <f t="shared" si="0"/>
        <v>364.56</v>
      </c>
      <c r="G16" s="31">
        <f>'Price list REWE '!E13</f>
        <v>3.58</v>
      </c>
      <c r="H16" s="31">
        <f>G16/1000*D16</f>
        <v>0.18644640000000001</v>
      </c>
      <c r="J16" s="42">
        <f>'Price list REWE '!H13</f>
        <v>2.98</v>
      </c>
      <c r="K16" s="42">
        <f>J16/1000*D16</f>
        <v>0.15519839999999999</v>
      </c>
      <c r="M16" s="31">
        <f>'Price list ALDI Süd'!E13</f>
        <v>2.98</v>
      </c>
      <c r="N16" s="31">
        <f>M16/1000*D16</f>
        <v>0.15519839999999999</v>
      </c>
      <c r="P16" s="42">
        <f>'Price list ALDI Süd'!H13</f>
        <v>2.98</v>
      </c>
      <c r="Q16" s="42">
        <f>P16/1000*D16</f>
        <v>0.15519839999999999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42</v>
      </c>
      <c r="E18" s="4">
        <f>D18*$E$10</f>
        <v>294</v>
      </c>
      <c r="F18" s="4">
        <f>39*C4</f>
        <v>32.76</v>
      </c>
      <c r="G18" s="12"/>
    </row>
    <row r="19" spans="1:17" ht="17" x14ac:dyDescent="0.2">
      <c r="B19" s="1" t="s">
        <v>41</v>
      </c>
      <c r="D19" s="1">
        <f>50*C4</f>
        <v>42</v>
      </c>
      <c r="E19" s="1">
        <f>D19*E10</f>
        <v>294</v>
      </c>
      <c r="G19" s="31">
        <f>'Price list REWE '!$E$16</f>
        <v>0.92</v>
      </c>
      <c r="H19" s="31">
        <f>G19/1000*D19</f>
        <v>3.8640000000000001E-2</v>
      </c>
      <c r="J19" s="42">
        <f>'Price list REWE '!H16</f>
        <v>1.53</v>
      </c>
      <c r="K19" s="42">
        <f>J19/1000*D19</f>
        <v>6.4260000000000012E-2</v>
      </c>
      <c r="M19" s="31">
        <f>'Price list ALDI Süd'!E16</f>
        <v>0.96</v>
      </c>
      <c r="N19" s="31">
        <f>M19/1000*D19</f>
        <v>4.0319999999999995E-2</v>
      </c>
      <c r="P19" s="42">
        <f>'Price list ALDI Süd'!H16</f>
        <v>1.46</v>
      </c>
      <c r="Q19" s="42">
        <f>P19/1000*D19</f>
        <v>6.132E-2</v>
      </c>
    </row>
    <row r="20" spans="1:17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252</v>
      </c>
      <c r="E21" s="4">
        <f>D21*$E$10</f>
        <v>1764</v>
      </c>
    </row>
    <row r="22" spans="1:17" x14ac:dyDescent="0.2">
      <c r="A22" s="3"/>
      <c r="C22" s="5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84</v>
      </c>
      <c r="E23" s="4">
        <f>D23*7</f>
        <v>588</v>
      </c>
      <c r="F23" s="4">
        <f>23*C4</f>
        <v>19.32</v>
      </c>
      <c r="G23" s="12"/>
    </row>
    <row r="24" spans="1:17" ht="17" x14ac:dyDescent="0.2">
      <c r="B24" s="16" t="s">
        <v>392</v>
      </c>
      <c r="C24" s="340">
        <v>8.1854823894030371E-2</v>
      </c>
      <c r="D24" s="6">
        <f>C24*$D$23</f>
        <v>6.8758052070985514</v>
      </c>
      <c r="E24" s="1">
        <f>D24*7</f>
        <v>48.13063644968986</v>
      </c>
      <c r="G24" s="32">
        <f>'Price list REWE '!E21</f>
        <v>3.0944625407166124</v>
      </c>
      <c r="H24" s="31">
        <f t="shared" ref="H24:H31" si="1">G24/1000*D24</f>
        <v>2.1276921650630699E-2</v>
      </c>
      <c r="J24" s="42">
        <f>'Price list REWE '!H21</f>
        <v>3.0944625407166124</v>
      </c>
      <c r="K24" s="42">
        <f t="shared" ref="K24:K31" si="2">J24/1000*D24</f>
        <v>2.1276921650630699E-2</v>
      </c>
      <c r="M24" s="31">
        <f>'Price list ALDI Süd'!E21</f>
        <v>2.2475570032573291</v>
      </c>
      <c r="N24" s="31">
        <f t="shared" ref="N24:N31" si="3">M24/1000*D24</f>
        <v>1.5453764146247559E-2</v>
      </c>
      <c r="P24" s="42">
        <f>'Price list ALDI Süd'!H21</f>
        <v>2.2475570032573291</v>
      </c>
      <c r="Q24" s="42">
        <f t="shared" ref="Q24:Q31" si="4">P24/1000*D24</f>
        <v>1.5453764146247559E-2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5">C25*$D$23</f>
        <v>3.5138356362188032</v>
      </c>
      <c r="E25" s="1">
        <f t="shared" ref="E25:E31" si="6">D25*7</f>
        <v>24.596849453531622</v>
      </c>
      <c r="G25" s="32">
        <f>'Price list REWE '!E22</f>
        <v>2.875</v>
      </c>
      <c r="H25" s="31">
        <f t="shared" si="1"/>
        <v>1.0102277454129059E-2</v>
      </c>
      <c r="J25" s="42">
        <f>'Price list REWE '!H22</f>
        <v>5.98</v>
      </c>
      <c r="K25" s="42">
        <f t="shared" si="2"/>
        <v>2.1012737104588442E-2</v>
      </c>
      <c r="M25" s="31">
        <f>'Price list ALDI Süd'!E22</f>
        <v>2.875</v>
      </c>
      <c r="N25" s="31">
        <f t="shared" si="3"/>
        <v>1.0102277454129059E-2</v>
      </c>
      <c r="P25" s="42">
        <f>'Price list ALDI Süd'!H22</f>
        <v>11.96</v>
      </c>
      <c r="Q25" s="42">
        <f t="shared" si="4"/>
        <v>4.2025474209176884E-2</v>
      </c>
    </row>
    <row r="26" spans="1:17" ht="17" x14ac:dyDescent="0.2">
      <c r="B26" s="16" t="s">
        <v>51</v>
      </c>
      <c r="C26" s="340">
        <v>5.5140886754685689E-2</v>
      </c>
      <c r="D26" s="6">
        <f t="shared" si="5"/>
        <v>4.6318344873935979</v>
      </c>
      <c r="E26" s="1">
        <f t="shared" si="6"/>
        <v>32.422841411755186</v>
      </c>
      <c r="G26" s="32">
        <f>'Price list REWE '!E23</f>
        <v>1.76</v>
      </c>
      <c r="H26" s="31">
        <f t="shared" si="1"/>
        <v>8.1520286978127333E-3</v>
      </c>
      <c r="J26" s="42">
        <f>'Price list REWE '!H23</f>
        <v>3.32</v>
      </c>
      <c r="K26" s="42">
        <f t="shared" si="2"/>
        <v>1.5377690498146745E-2</v>
      </c>
      <c r="M26" s="31">
        <f>'Price list ALDI Süd'!E23</f>
        <v>1.99</v>
      </c>
      <c r="N26" s="31">
        <f t="shared" si="3"/>
        <v>9.2173506299132596E-3</v>
      </c>
      <c r="P26" s="42">
        <f>'Price list ALDI Süd'!H23</f>
        <v>3.32</v>
      </c>
      <c r="Q26" s="42">
        <f t="shared" si="4"/>
        <v>1.5377690498146745E-2</v>
      </c>
    </row>
    <row r="27" spans="1:17" ht="17" x14ac:dyDescent="0.2">
      <c r="B27" s="16" t="s">
        <v>394</v>
      </c>
      <c r="C27" s="340">
        <v>7.8411761271535096E-2</v>
      </c>
      <c r="D27" s="6">
        <f t="shared" si="5"/>
        <v>6.5865879468089483</v>
      </c>
      <c r="E27" s="1">
        <f t="shared" si="6"/>
        <v>46.106115627662639</v>
      </c>
      <c r="G27" s="32">
        <f>'Price list REWE '!E24</f>
        <v>1.8349928876244666</v>
      </c>
      <c r="H27" s="31">
        <f t="shared" si="1"/>
        <v>1.2086342036107457E-2</v>
      </c>
      <c r="J27" s="42">
        <f>'Price list REWE '!H24</f>
        <v>3.8264580369843526</v>
      </c>
      <c r="K27" s="42">
        <f t="shared" si="2"/>
        <v>2.5203302385371367E-2</v>
      </c>
      <c r="M27" s="31">
        <f>'Price list ALDI Süd'!E24</f>
        <v>1.4082503556187767</v>
      </c>
      <c r="N27" s="31">
        <f t="shared" si="3"/>
        <v>9.2755648184080497E-3</v>
      </c>
      <c r="P27" s="42">
        <f>'Price list ALDI Süd'!H24</f>
        <v>3.8264580369843526</v>
      </c>
      <c r="Q27" s="42">
        <f t="shared" si="4"/>
        <v>2.5203302385371367E-2</v>
      </c>
    </row>
    <row r="28" spans="1:17" ht="17" x14ac:dyDescent="0.2">
      <c r="B28" s="16" t="s">
        <v>395</v>
      </c>
      <c r="C28" s="340">
        <v>0.10804527200358816</v>
      </c>
      <c r="D28" s="6">
        <f t="shared" si="5"/>
        <v>9.0758028483014055</v>
      </c>
      <c r="E28" s="1">
        <f t="shared" si="6"/>
        <v>63.530619938109837</v>
      </c>
      <c r="G28" s="32">
        <f>'Price list REWE '!E25</f>
        <v>6.2402088772845961</v>
      </c>
      <c r="H28" s="31">
        <f t="shared" si="1"/>
        <v>5.6634905502455257E-2</v>
      </c>
      <c r="J28" s="42">
        <f>'Price list REWE '!H25</f>
        <v>6.5013054830287214</v>
      </c>
      <c r="K28" s="42">
        <f t="shared" si="2"/>
        <v>5.9004566820549609E-2</v>
      </c>
      <c r="M28" s="31">
        <f>'Price list ALDI Süd'!E25</f>
        <v>4.125</v>
      </c>
      <c r="N28" s="31">
        <f t="shared" si="3"/>
        <v>3.7437686749243297E-2</v>
      </c>
      <c r="P28" s="42">
        <f>'Price list ALDI Süd'!H25</f>
        <v>7.041666666666667</v>
      </c>
      <c r="Q28" s="42">
        <f t="shared" si="4"/>
        <v>6.3908778390122392E-2</v>
      </c>
    </row>
    <row r="29" spans="1:17" ht="17" x14ac:dyDescent="0.2">
      <c r="B29" s="10" t="s">
        <v>396</v>
      </c>
      <c r="C29" s="340">
        <v>0.24433687491347134</v>
      </c>
      <c r="D29" s="6">
        <f t="shared" si="5"/>
        <v>20.524297492731591</v>
      </c>
      <c r="E29" s="1">
        <f t="shared" si="6"/>
        <v>143.67008244912114</v>
      </c>
      <c r="G29" s="32">
        <f>'Price list REWE '!E26</f>
        <v>1.0745614035087721</v>
      </c>
      <c r="H29" s="31">
        <f t="shared" si="1"/>
        <v>2.2054617919821232E-2</v>
      </c>
      <c r="J29" s="42">
        <f>'Price list REWE '!H26</f>
        <v>3.2675438596491229</v>
      </c>
      <c r="K29" s="42">
        <f t="shared" si="2"/>
        <v>6.7064042245986999E-2</v>
      </c>
      <c r="M29" s="31">
        <f>'Price list ALDI Süd'!E26</f>
        <v>1.0745614035087721</v>
      </c>
      <c r="N29" s="31">
        <f t="shared" si="3"/>
        <v>2.2054617919821232E-2</v>
      </c>
      <c r="P29" s="42">
        <f>'Price list ALDI Süd'!H26</f>
        <v>1.2938596491228069</v>
      </c>
      <c r="Q29" s="42">
        <f t="shared" si="4"/>
        <v>2.6555560352437804E-2</v>
      </c>
    </row>
    <row r="30" spans="1:17" ht="17" x14ac:dyDescent="0.2">
      <c r="B30" s="16" t="s">
        <v>63</v>
      </c>
      <c r="C30" s="340">
        <v>0.19518950227051848</v>
      </c>
      <c r="D30" s="6">
        <f t="shared" si="5"/>
        <v>16.395918190723552</v>
      </c>
      <c r="E30" s="1">
        <f t="shared" si="6"/>
        <v>114.77142733506487</v>
      </c>
      <c r="G30" s="33">
        <f>'Price list REWE '!E27</f>
        <v>1.79</v>
      </c>
      <c r="H30" s="31">
        <f t="shared" si="1"/>
        <v>2.9348693561395162E-2</v>
      </c>
      <c r="J30" s="42">
        <f>'Price list REWE '!H27</f>
        <v>3.58</v>
      </c>
      <c r="K30" s="42">
        <f t="shared" si="2"/>
        <v>5.8697387122790323E-2</v>
      </c>
      <c r="M30" s="31">
        <f>'Price list ALDI Süd'!E27</f>
        <v>1.49</v>
      </c>
      <c r="N30" s="31">
        <f t="shared" si="3"/>
        <v>2.4429918104178092E-2</v>
      </c>
      <c r="P30" s="42">
        <f>'Price list ALDI Süd'!H27</f>
        <v>1.78</v>
      </c>
      <c r="Q30" s="42">
        <f t="shared" si="4"/>
        <v>2.9184734379487924E-2</v>
      </c>
    </row>
    <row r="31" spans="1:17" ht="17" x14ac:dyDescent="0.2">
      <c r="B31" s="16" t="s">
        <v>66</v>
      </c>
      <c r="C31" s="340">
        <v>0.19518950227051848</v>
      </c>
      <c r="D31" s="6">
        <f t="shared" si="5"/>
        <v>16.395918190723552</v>
      </c>
      <c r="E31" s="1">
        <f t="shared" si="6"/>
        <v>114.77142733506487</v>
      </c>
      <c r="G31" s="33">
        <f>'Price list REWE '!E28</f>
        <v>1.99</v>
      </c>
      <c r="H31" s="31">
        <f t="shared" si="1"/>
        <v>3.262787719953987E-2</v>
      </c>
      <c r="J31" s="42">
        <f>'Price list REWE '!H28</f>
        <v>5.3</v>
      </c>
      <c r="K31" s="42">
        <f t="shared" si="2"/>
        <v>8.6898366410834829E-2</v>
      </c>
      <c r="M31" s="31">
        <f>'Price list ALDI Süd'!E28</f>
        <v>1.99</v>
      </c>
      <c r="N31" s="31">
        <f t="shared" si="3"/>
        <v>3.262787719953987E-2</v>
      </c>
      <c r="P31" s="42">
        <f>'Price list ALDI Süd'!H28</f>
        <v>5.3</v>
      </c>
      <c r="Q31" s="42">
        <f t="shared" si="4"/>
        <v>8.6898366410834829E-2</v>
      </c>
    </row>
    <row r="32" spans="1:17" x14ac:dyDescent="0.2">
      <c r="A32" s="9">
        <v>8</v>
      </c>
      <c r="B32" s="17"/>
      <c r="C32" s="340"/>
      <c r="G32" s="32"/>
      <c r="H32" s="31"/>
      <c r="J32" s="42"/>
      <c r="K32" s="42"/>
      <c r="M32" s="31"/>
      <c r="N32" s="31"/>
      <c r="P32" s="42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84</v>
      </c>
      <c r="F33" s="4">
        <f>30*C4</f>
        <v>25.2</v>
      </c>
      <c r="G33" s="12"/>
    </row>
    <row r="34" spans="1:17" ht="17" x14ac:dyDescent="0.2">
      <c r="B34" s="23" t="s">
        <v>70</v>
      </c>
      <c r="C34" s="340">
        <v>0.21012979994107583</v>
      </c>
      <c r="D34" s="6">
        <f>C34*D33</f>
        <v>17.650903195050368</v>
      </c>
      <c r="E34" s="1">
        <f t="shared" ref="E34:E39" si="7">D34*7</f>
        <v>123.55632236535257</v>
      </c>
      <c r="G34" s="32">
        <f>'Price list REWE '!E31</f>
        <v>1.75</v>
      </c>
      <c r="H34" s="31">
        <f t="shared" ref="H34:H39" si="8">G34/1000*D34</f>
        <v>3.0889080591338144E-2</v>
      </c>
      <c r="J34" s="42">
        <f>'Price list REWE '!H31</f>
        <v>2.79</v>
      </c>
      <c r="K34" s="42">
        <f t="shared" ref="K34:K39" si="9">J34/1000*D34</f>
        <v>4.9246019914190524E-2</v>
      </c>
      <c r="M34" s="31">
        <f>'Price list ALDI Süd'!E31</f>
        <v>1.5</v>
      </c>
      <c r="N34" s="31">
        <f t="shared" ref="N34:N39" si="10">M34/1000*D34</f>
        <v>2.6476354792575554E-2</v>
      </c>
      <c r="P34" s="42">
        <f>'Price list ALDI Süd'!H31</f>
        <v>2.19</v>
      </c>
      <c r="Q34" s="42">
        <f t="shared" ref="Q34:Q39" si="11">P34/1000*D34</f>
        <v>3.8655477997160306E-2</v>
      </c>
    </row>
    <row r="35" spans="1:17" ht="17" x14ac:dyDescent="0.2">
      <c r="B35" s="10" t="s">
        <v>73</v>
      </c>
      <c r="C35" s="340">
        <v>0.19042830974833957</v>
      </c>
      <c r="D35" s="6">
        <f>C35*D33</f>
        <v>15.995978018860525</v>
      </c>
      <c r="E35" s="1">
        <f t="shared" si="7"/>
        <v>111.97184613202367</v>
      </c>
      <c r="G35" s="33">
        <f>'Price list REWE '!E32</f>
        <v>2.79</v>
      </c>
      <c r="H35" s="31">
        <f t="shared" si="8"/>
        <v>4.4628778672620863E-2</v>
      </c>
      <c r="J35" s="42">
        <f>'Price list REWE '!H32</f>
        <v>5.18</v>
      </c>
      <c r="K35" s="42">
        <f t="shared" si="9"/>
        <v>8.2859166137697518E-2</v>
      </c>
      <c r="M35" s="31">
        <f>'Price list ALDI Süd'!E32</f>
        <v>1.79</v>
      </c>
      <c r="N35" s="31">
        <f t="shared" si="10"/>
        <v>2.8632800653760341E-2</v>
      </c>
      <c r="P35" s="42">
        <f>'Price list ALDI Süd'!H32</f>
        <v>4.58</v>
      </c>
      <c r="Q35" s="42">
        <f t="shared" si="11"/>
        <v>7.3261579326381207E-2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15.995978018860525</v>
      </c>
      <c r="E36" s="1">
        <f t="shared" si="7"/>
        <v>111.97184613202367</v>
      </c>
      <c r="G36" s="33">
        <f>'Price list REWE '!E33</f>
        <v>1.7</v>
      </c>
      <c r="H36" s="31">
        <f t="shared" si="8"/>
        <v>2.7193162632062891E-2</v>
      </c>
      <c r="J36" s="42">
        <f>'Price list REWE '!H33</f>
        <v>2.27</v>
      </c>
      <c r="K36" s="42">
        <f t="shared" si="9"/>
        <v>3.6310870102813392E-2</v>
      </c>
      <c r="M36" s="31">
        <f>'Price list ALDI Süd'!E33</f>
        <v>1.7</v>
      </c>
      <c r="N36" s="31">
        <f t="shared" si="10"/>
        <v>2.7193162632062891E-2</v>
      </c>
      <c r="P36" s="42">
        <f>'Price list ALDI Süd'!H33</f>
        <v>1.98</v>
      </c>
      <c r="Q36" s="42">
        <f t="shared" si="11"/>
        <v>3.1672036477343839E-2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15.995978018860525</v>
      </c>
      <c r="E37" s="1">
        <f t="shared" si="7"/>
        <v>111.97184613202367</v>
      </c>
      <c r="G37" s="33">
        <f>'Price list REWE '!E34</f>
        <v>2.125</v>
      </c>
      <c r="H37" s="31">
        <f t="shared" si="8"/>
        <v>3.3991453290078619E-2</v>
      </c>
      <c r="J37" s="42">
        <f>'Price list REWE '!H34</f>
        <v>2.4750000000000001</v>
      </c>
      <c r="K37" s="42">
        <f t="shared" si="9"/>
        <v>3.95900455966798E-2</v>
      </c>
      <c r="M37" s="31">
        <f>'Price list ALDI Süd'!E34</f>
        <v>2</v>
      </c>
      <c r="N37" s="31">
        <f t="shared" si="10"/>
        <v>3.199195603772105E-2</v>
      </c>
      <c r="P37" s="42">
        <f>'Price list ALDI Süd'!H34</f>
        <v>2.4750000000000001</v>
      </c>
      <c r="Q37" s="42">
        <f t="shared" si="11"/>
        <v>3.95900455966798E-2</v>
      </c>
    </row>
    <row r="38" spans="1:17" ht="17" x14ac:dyDescent="0.2">
      <c r="B38" s="16" t="s">
        <v>82</v>
      </c>
      <c r="C38" s="340">
        <v>0.10929263540695267</v>
      </c>
      <c r="D38" s="6">
        <f t="shared" si="12"/>
        <v>9.1805813741840243</v>
      </c>
      <c r="E38" s="1">
        <f t="shared" si="7"/>
        <v>64.264069619288165</v>
      </c>
      <c r="G38" s="33">
        <f>'Price list REWE '!E35</f>
        <v>3.98</v>
      </c>
      <c r="H38" s="31">
        <f t="shared" si="8"/>
        <v>3.653871386925242E-2</v>
      </c>
      <c r="J38" s="42">
        <f>'Price list REWE '!H35</f>
        <v>6.99</v>
      </c>
      <c r="K38" s="42">
        <f t="shared" si="9"/>
        <v>6.4172263805546331E-2</v>
      </c>
      <c r="M38" s="31">
        <f>'Price list ALDI Süd'!E35</f>
        <v>3.79</v>
      </c>
      <c r="N38" s="31">
        <f t="shared" si="10"/>
        <v>3.4794403408157454E-2</v>
      </c>
      <c r="P38" s="42">
        <f>'Price list ALDI Süd'!H35</f>
        <v>4.4800000000000004</v>
      </c>
      <c r="Q38" s="42">
        <f t="shared" si="11"/>
        <v>4.1129004556344433E-2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9.1805813741840243</v>
      </c>
      <c r="E39" s="1">
        <f t="shared" si="7"/>
        <v>64.264069619288165</v>
      </c>
      <c r="G39" s="76">
        <f>'Price list REWE '!E36</f>
        <v>2.9289940828402368</v>
      </c>
      <c r="H39" s="31">
        <f t="shared" si="8"/>
        <v>2.6889868522018297E-2</v>
      </c>
      <c r="J39" s="42">
        <f>'Price list REWE '!H36</f>
        <v>3.8165680473372783</v>
      </c>
      <c r="K39" s="42">
        <f t="shared" si="9"/>
        <v>3.503831352869051E-2</v>
      </c>
      <c r="M39" s="31">
        <f>'Price list ALDI Süd'!E36</f>
        <v>2.3372781065088759</v>
      </c>
      <c r="N39" s="31">
        <f t="shared" si="10"/>
        <v>2.1457571850903488E-2</v>
      </c>
      <c r="P39" s="42">
        <f>'Price list ALDI Süd'!H36</f>
        <v>3.8165680473372783</v>
      </c>
      <c r="Q39" s="42">
        <f t="shared" si="11"/>
        <v>3.503831352869051E-2</v>
      </c>
    </row>
    <row r="40" spans="1:17" x14ac:dyDescent="0.2">
      <c r="A40" s="9">
        <v>6</v>
      </c>
      <c r="C40" s="340"/>
      <c r="D40" s="6"/>
      <c r="G40" s="35"/>
      <c r="H40" s="31"/>
      <c r="J40" s="42"/>
      <c r="K40" s="42"/>
      <c r="M40" s="31"/>
      <c r="N40" s="31"/>
      <c r="P40" s="42"/>
      <c r="Q40" s="42"/>
    </row>
    <row r="41" spans="1:17" s="4" customFormat="1" ht="17" x14ac:dyDescent="0.2">
      <c r="A41" s="12"/>
      <c r="B41" s="25" t="s">
        <v>88</v>
      </c>
      <c r="C41" s="343"/>
      <c r="D41" s="29">
        <f>100*C4</f>
        <v>84</v>
      </c>
      <c r="E41" s="22"/>
      <c r="F41" s="4">
        <f>25*C4</f>
        <v>21</v>
      </c>
      <c r="G41" s="12"/>
    </row>
    <row r="42" spans="1:17" ht="17" x14ac:dyDescent="0.2">
      <c r="B42" s="16" t="s">
        <v>89</v>
      </c>
      <c r="C42" s="340">
        <v>0.24393305975418372</v>
      </c>
      <c r="D42" s="1">
        <f>C42*$D$41</f>
        <v>20.490377019351431</v>
      </c>
      <c r="E42" s="1">
        <f>D42*7</f>
        <v>143.43263913546002</v>
      </c>
      <c r="G42" s="32">
        <f>'Price list REWE '!E39</f>
        <v>1.49</v>
      </c>
      <c r="H42" s="31">
        <f>G42/1000*D42</f>
        <v>3.0530661758833632E-2</v>
      </c>
      <c r="J42" s="42">
        <f>'Price list REWE '!H39</f>
        <v>1.49</v>
      </c>
      <c r="K42" s="42">
        <f>J42/1000*D42</f>
        <v>3.0530661758833632E-2</v>
      </c>
      <c r="M42" s="31">
        <f>'Price list ALDI Süd'!E39</f>
        <v>1.49</v>
      </c>
      <c r="N42" s="31">
        <f>M42/1000*D42</f>
        <v>3.0530661758833632E-2</v>
      </c>
      <c r="P42" s="42">
        <f>'Price list ALDI Süd'!H39</f>
        <v>1.49</v>
      </c>
      <c r="Q42" s="42">
        <f>P42/1000*D42</f>
        <v>3.0530661758833632E-2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8.9294572446063984</v>
      </c>
      <c r="E43" s="1">
        <f>D43*7</f>
        <v>62.506200712244791</v>
      </c>
      <c r="G43" s="78">
        <f>'Price list REWE '!E40</f>
        <v>1.99</v>
      </c>
      <c r="H43" s="31">
        <f>G43/1000*D43</f>
        <v>1.7769619916766732E-2</v>
      </c>
      <c r="J43" s="42">
        <f>'Price list REWE '!H40</f>
        <v>7.3</v>
      </c>
      <c r="K43" s="42">
        <f>J43/1000*D43</f>
        <v>6.5185037885626712E-2</v>
      </c>
      <c r="M43" s="31">
        <f>'Price list ALDI Süd'!E40</f>
        <v>1.99</v>
      </c>
      <c r="N43" s="31">
        <f>M43/1000*D43</f>
        <v>1.7769619916766732E-2</v>
      </c>
      <c r="P43" s="42">
        <f>'Price list ALDI Süd'!H40</f>
        <v>3.32</v>
      </c>
      <c r="Q43" s="42">
        <f>P43/1000*D43</f>
        <v>2.9645798052093244E-2</v>
      </c>
    </row>
    <row r="44" spans="1:17" ht="17" x14ac:dyDescent="0.2">
      <c r="B44" s="10" t="s">
        <v>94</v>
      </c>
      <c r="C44" s="87">
        <v>0.46774770023805184</v>
      </c>
      <c r="D44" s="1">
        <f t="shared" si="13"/>
        <v>39.290806819996355</v>
      </c>
      <c r="E44" s="1">
        <f>D44*7</f>
        <v>275.03564773997448</v>
      </c>
      <c r="G44" s="32">
        <f>'Price list REWE '!E41</f>
        <v>1.79</v>
      </c>
      <c r="H44" s="31">
        <f>G44/1000*D44</f>
        <v>7.0330544207793486E-2</v>
      </c>
      <c r="J44" s="42">
        <f>'Price list REWE '!H41</f>
        <v>3.05</v>
      </c>
      <c r="K44" s="42">
        <f>J44/1000*D44</f>
        <v>0.11983696080098888</v>
      </c>
      <c r="M44" s="31">
        <f>'Price list ALDI Süd'!E41</f>
        <v>1.99</v>
      </c>
      <c r="N44" s="31">
        <f>M44/1000*D44</f>
        <v>7.8188705571792749E-2</v>
      </c>
      <c r="P44" s="42">
        <f>'Price list ALDI Süd'!H41</f>
        <v>1.99</v>
      </c>
      <c r="Q44" s="42">
        <f>P44/1000*D44</f>
        <v>7.8188705571792749E-2</v>
      </c>
    </row>
    <row r="45" spans="1:17" ht="17" x14ac:dyDescent="0.2">
      <c r="B45" s="10" t="s">
        <v>398</v>
      </c>
      <c r="C45" s="87">
        <v>0.10260798307610458</v>
      </c>
      <c r="D45" s="1">
        <f t="shared" si="13"/>
        <v>8.619070578392785</v>
      </c>
      <c r="E45" s="1">
        <f>D45*7</f>
        <v>60.333494048749493</v>
      </c>
      <c r="G45" s="32">
        <f>'Price list REWE '!E42</f>
        <v>6.99</v>
      </c>
      <c r="H45" s="31">
        <f>G45/1000*D45</f>
        <v>6.0247303342965575E-2</v>
      </c>
      <c r="J45" s="42">
        <f>'Price list REWE '!H42</f>
        <v>9.9600000000000009</v>
      </c>
      <c r="K45" s="42">
        <f>J45/1000*D45</f>
        <v>8.5845942960792135E-2</v>
      </c>
      <c r="M45" s="31">
        <f>'Price list ALDI Süd'!E42</f>
        <v>4.9800000000000004</v>
      </c>
      <c r="N45" s="31">
        <f>M45/1000*D45</f>
        <v>4.2922971480396067E-2</v>
      </c>
      <c r="P45" s="42">
        <f>'Price list ALDI Süd'!H42</f>
        <v>7.16</v>
      </c>
      <c r="Q45" s="42">
        <f>P45/1000*D45</f>
        <v>6.1712545341292342E-2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6.6702883376530338</v>
      </c>
      <c r="E46" s="1">
        <f>D46*7</f>
        <v>46.692018363571236</v>
      </c>
      <c r="G46" s="33">
        <f>'Price list REWE '!E43</f>
        <v>10</v>
      </c>
      <c r="H46" s="31">
        <f>G46/1000*D46</f>
        <v>6.6702883376530339E-2</v>
      </c>
      <c r="J46" s="42">
        <f>'Price list REWE '!H43</f>
        <v>10</v>
      </c>
      <c r="K46" s="42">
        <f>J46/1000*D46</f>
        <v>6.6702883376530339E-2</v>
      </c>
      <c r="M46" s="31">
        <f>'Price list ALDI Süd'!E43</f>
        <v>9.9</v>
      </c>
      <c r="N46" s="31">
        <f>M46/1000*D46</f>
        <v>6.6035854542765046E-2</v>
      </c>
      <c r="P46" s="42">
        <f>'Price list ALDI Süd'!H43</f>
        <v>9.9</v>
      </c>
      <c r="Q46" s="42">
        <f>P46/1000*D46</f>
        <v>6.6035854542765046E-2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168</v>
      </c>
      <c r="E48" s="4">
        <f>D48*$E$10</f>
        <v>1176</v>
      </c>
      <c r="F48" s="4">
        <f>126*C4</f>
        <v>105.83999999999999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75.542922901353734</v>
      </c>
      <c r="E49" s="1">
        <f t="shared" ref="E49:E58" si="14">D49*$E$10</f>
        <v>528.80046030947619</v>
      </c>
      <c r="G49" s="36">
        <f>'Price list REWE '!E46</f>
        <v>1.19</v>
      </c>
      <c r="H49" s="31">
        <f t="shared" ref="H49:H58" si="15">G49/1000*D49</f>
        <v>8.9896078252610936E-2</v>
      </c>
      <c r="J49" s="42">
        <f>'Price list REWE '!H46</f>
        <v>2.99</v>
      </c>
      <c r="K49" s="42">
        <f t="shared" ref="K49:K58" si="16">J49/1000*D49</f>
        <v>0.22587333947504767</v>
      </c>
      <c r="M49" s="31">
        <f>'Price list ALDI Süd'!E46</f>
        <v>0.94499999999999995</v>
      </c>
      <c r="N49" s="31">
        <f t="shared" ref="N49:N58" si="17">M49/1000*D49</f>
        <v>7.1388062141779271E-2</v>
      </c>
      <c r="P49" s="42">
        <f>'Price list ALDI Süd'!H46</f>
        <v>1.92</v>
      </c>
      <c r="Q49" s="42">
        <f t="shared" ref="Q49:Q58" si="18">P49/1000*D49</f>
        <v>0.14504241197059917</v>
      </c>
    </row>
    <row r="50" spans="1:17" ht="17" x14ac:dyDescent="0.2">
      <c r="B50" s="11" t="s">
        <v>106</v>
      </c>
      <c r="C50" s="342">
        <v>4.5787970295011769E-2</v>
      </c>
      <c r="D50" s="1">
        <f t="shared" ref="D50:D58" si="19">C50*$D$48</f>
        <v>7.6923790095619768</v>
      </c>
      <c r="E50" s="1">
        <f t="shared" si="14"/>
        <v>53.84665306693384</v>
      </c>
      <c r="G50" s="36">
        <f>'Price list REWE '!E47</f>
        <v>1.79</v>
      </c>
      <c r="H50" s="31">
        <f t="shared" si="15"/>
        <v>1.376935842711594E-2</v>
      </c>
      <c r="J50" s="42">
        <f>'Price list REWE '!H47</f>
        <v>3.65</v>
      </c>
      <c r="K50" s="42">
        <f t="shared" si="16"/>
        <v>2.8077183384901217E-2</v>
      </c>
      <c r="M50" s="31">
        <f>'Price list ALDI Süd'!E47</f>
        <v>1.79</v>
      </c>
      <c r="N50" s="31">
        <f t="shared" si="17"/>
        <v>1.376935842711594E-2</v>
      </c>
      <c r="P50" s="42">
        <f>'Price list ALDI Süd'!H47</f>
        <v>3.65</v>
      </c>
      <c r="Q50" s="42">
        <f t="shared" si="18"/>
        <v>2.8077183384901217E-2</v>
      </c>
    </row>
    <row r="51" spans="1:17" ht="17" x14ac:dyDescent="0.2">
      <c r="B51" s="11" t="s">
        <v>109</v>
      </c>
      <c r="C51" s="342">
        <v>2.019481503339627E-2</v>
      </c>
      <c r="D51" s="1">
        <f t="shared" si="19"/>
        <v>3.3927289256105735</v>
      </c>
      <c r="E51" s="1">
        <f t="shared" si="14"/>
        <v>23.749102479274015</v>
      </c>
      <c r="G51" s="36">
        <f>'Price list REWE '!E48</f>
        <v>4.99</v>
      </c>
      <c r="H51" s="31">
        <f t="shared" si="15"/>
        <v>1.6929717338796762E-2</v>
      </c>
      <c r="J51" s="42">
        <f>'Price list REWE '!H48</f>
        <v>4.99</v>
      </c>
      <c r="K51" s="42">
        <f t="shared" si="16"/>
        <v>1.6929717338796762E-2</v>
      </c>
      <c r="M51" s="31">
        <f>'Price list ALDI Süd'!E48</f>
        <v>3.98</v>
      </c>
      <c r="N51" s="31">
        <f t="shared" si="17"/>
        <v>1.3503061123930083E-2</v>
      </c>
      <c r="P51" s="42">
        <f>'Price list ALDI Süd'!H48</f>
        <v>3.98</v>
      </c>
      <c r="Q51" s="42">
        <f t="shared" si="18"/>
        <v>1.3503061123930083E-2</v>
      </c>
    </row>
    <row r="52" spans="1:17" ht="17" x14ac:dyDescent="0.2">
      <c r="B52" s="11" t="s">
        <v>111</v>
      </c>
      <c r="C52" s="342">
        <v>2.0560497203855613E-2</v>
      </c>
      <c r="D52" s="1">
        <f t="shared" si="19"/>
        <v>3.4541635302477429</v>
      </c>
      <c r="E52" s="1">
        <f t="shared" si="14"/>
        <v>24.1791447117342</v>
      </c>
      <c r="G52" s="36">
        <f>'Price list REWE '!E49</f>
        <v>7.98</v>
      </c>
      <c r="H52" s="31">
        <f t="shared" si="15"/>
        <v>2.7564224971376991E-2</v>
      </c>
      <c r="J52" s="42">
        <f>'Price list REWE '!H49</f>
        <v>10.63</v>
      </c>
      <c r="K52" s="42">
        <f t="shared" si="16"/>
        <v>3.6717758326533512E-2</v>
      </c>
      <c r="M52" s="31">
        <f>'Price list ALDI Süd'!E49</f>
        <v>7.98</v>
      </c>
      <c r="N52" s="31">
        <f t="shared" si="17"/>
        <v>2.7564224971376991E-2</v>
      </c>
      <c r="P52" s="42">
        <f>'Price list ALDI Süd'!H49</f>
        <v>9.9700000000000006</v>
      </c>
      <c r="Q52" s="42">
        <f t="shared" si="18"/>
        <v>3.4438010396570004E-2</v>
      </c>
    </row>
    <row r="53" spans="1:17" ht="17" x14ac:dyDescent="0.2">
      <c r="B53" s="11" t="s">
        <v>114</v>
      </c>
      <c r="C53" s="342">
        <v>1.772181875645604E-2</v>
      </c>
      <c r="D53" s="1">
        <f t="shared" si="19"/>
        <v>2.9772655510846149</v>
      </c>
      <c r="E53" s="1">
        <f t="shared" si="14"/>
        <v>20.840858857592305</v>
      </c>
      <c r="G53" s="36">
        <f>'Price list REWE '!E50</f>
        <v>5.98</v>
      </c>
      <c r="H53" s="31">
        <f t="shared" si="15"/>
        <v>1.7804047995485996E-2</v>
      </c>
      <c r="J53" s="42">
        <f>'Price list REWE '!H50</f>
        <v>10.63</v>
      </c>
      <c r="K53" s="42">
        <f t="shared" si="16"/>
        <v>3.1648332808029457E-2</v>
      </c>
      <c r="M53" s="31">
        <f>'Price list ALDI Süd'!E50</f>
        <v>5.98</v>
      </c>
      <c r="N53" s="31">
        <f t="shared" si="17"/>
        <v>1.7804047995485996E-2</v>
      </c>
      <c r="P53" s="42">
        <f>'Price list ALDI Süd'!H50</f>
        <v>9.9700000000000006</v>
      </c>
      <c r="Q53" s="42">
        <f t="shared" si="18"/>
        <v>2.9683337544313616E-2</v>
      </c>
    </row>
    <row r="54" spans="1:17" ht="17" x14ac:dyDescent="0.2">
      <c r="B54" s="11" t="s">
        <v>117</v>
      </c>
      <c r="C54" s="342">
        <v>7.018785236884495E-2</v>
      </c>
      <c r="D54" s="1">
        <f t="shared" si="19"/>
        <v>11.791559197965952</v>
      </c>
      <c r="E54" s="1">
        <f t="shared" si="14"/>
        <v>82.540914385761667</v>
      </c>
      <c r="G54" s="36">
        <f>'Price list REWE '!E51</f>
        <v>5.58</v>
      </c>
      <c r="H54" s="31">
        <f t="shared" si="15"/>
        <v>6.5796900324650007E-2</v>
      </c>
      <c r="J54" s="42">
        <f>'Price list REWE '!H51</f>
        <v>5.58</v>
      </c>
      <c r="K54" s="42">
        <f t="shared" si="16"/>
        <v>6.5796900324650007E-2</v>
      </c>
      <c r="M54" s="31">
        <f>'Price list ALDI Süd'!E51</f>
        <v>3.99</v>
      </c>
      <c r="N54" s="31">
        <f t="shared" si="17"/>
        <v>4.7048321199884155E-2</v>
      </c>
      <c r="P54" s="42">
        <f>'Price list ALDI Süd'!H51</f>
        <v>9.9700000000000006</v>
      </c>
      <c r="Q54" s="42">
        <f t="shared" si="18"/>
        <v>0.11756184520372057</v>
      </c>
    </row>
    <row r="55" spans="1:17" ht="17" x14ac:dyDescent="0.2">
      <c r="B55" s="11" t="s">
        <v>119</v>
      </c>
      <c r="C55" s="342">
        <v>9.5944736748873077E-2</v>
      </c>
      <c r="D55" s="1">
        <f t="shared" si="19"/>
        <v>16.118715773810678</v>
      </c>
      <c r="E55" s="1">
        <f t="shared" si="14"/>
        <v>112.83101041667474</v>
      </c>
      <c r="G55" s="36">
        <f>'Price list REWE '!E52</f>
        <v>3.58</v>
      </c>
      <c r="H55" s="31">
        <f t="shared" si="15"/>
        <v>5.7705002470242232E-2</v>
      </c>
      <c r="J55" s="42">
        <f>'Price list REWE '!H52</f>
        <v>3.58</v>
      </c>
      <c r="K55" s="42">
        <f t="shared" si="16"/>
        <v>5.7705002470242232E-2</v>
      </c>
      <c r="M55" s="31">
        <f>'Price list ALDI Süd'!E52</f>
        <v>3.38</v>
      </c>
      <c r="N55" s="31">
        <f t="shared" si="17"/>
        <v>5.4481259315480084E-2</v>
      </c>
      <c r="P55" s="42">
        <f>'Price list ALDI Süd'!H52</f>
        <v>3.38</v>
      </c>
      <c r="Q55" s="42">
        <f t="shared" si="18"/>
        <v>5.4481259315480084E-2</v>
      </c>
    </row>
    <row r="56" spans="1:17" ht="17" x14ac:dyDescent="0.2">
      <c r="B56" s="11" t="s">
        <v>121</v>
      </c>
      <c r="C56" s="342">
        <v>0.21388130862220195</v>
      </c>
      <c r="D56" s="1">
        <f t="shared" si="19"/>
        <v>35.932059848529924</v>
      </c>
      <c r="E56" s="1">
        <f t="shared" si="14"/>
        <v>251.52441893970948</v>
      </c>
      <c r="G56" s="36">
        <f>'Price list REWE '!E53</f>
        <v>1.29</v>
      </c>
      <c r="H56" s="31">
        <f t="shared" si="15"/>
        <v>4.6352357204603609E-2</v>
      </c>
      <c r="J56" s="42">
        <f>'Price list REWE '!H53</f>
        <v>1.99</v>
      </c>
      <c r="K56" s="42">
        <f t="shared" si="16"/>
        <v>7.1504799098574545E-2</v>
      </c>
      <c r="M56" s="31">
        <f>'Price list ALDI Süd'!E53</f>
        <v>1.29</v>
      </c>
      <c r="N56" s="31">
        <f t="shared" si="17"/>
        <v>4.6352357204603609E-2</v>
      </c>
      <c r="P56" s="42">
        <f>'Price list ALDI Süd'!H53</f>
        <v>1.99</v>
      </c>
      <c r="Q56" s="42">
        <f t="shared" si="18"/>
        <v>7.1504799098574545E-2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1.9665876360254213</v>
      </c>
      <c r="E57" s="1">
        <f t="shared" si="14"/>
        <v>13.766113452177949</v>
      </c>
      <c r="G57" s="78">
        <f>'Price list REWE '!E54</f>
        <v>5.98</v>
      </c>
      <c r="H57" s="31">
        <f t="shared" si="15"/>
        <v>1.176019406343202E-2</v>
      </c>
      <c r="J57" s="42">
        <f>'Price list REWE '!H54</f>
        <v>5.98</v>
      </c>
      <c r="K57" s="42">
        <f t="shared" si="16"/>
        <v>1.176019406343202E-2</v>
      </c>
      <c r="M57" s="31">
        <f>'Price list ALDI Süd'!E54</f>
        <v>3.98</v>
      </c>
      <c r="N57" s="31">
        <f t="shared" si="17"/>
        <v>7.8270187913811774E-3</v>
      </c>
      <c r="P57" s="42">
        <f>'Price list ALDI Süd'!H54</f>
        <v>3.98</v>
      </c>
      <c r="Q57" s="42">
        <f t="shared" si="18"/>
        <v>7.8270187913811774E-3</v>
      </c>
    </row>
    <row r="58" spans="1:17" ht="17" x14ac:dyDescent="0.2">
      <c r="B58" s="11" t="s">
        <v>126</v>
      </c>
      <c r="C58" s="87">
        <v>5.4354866820293855E-2</v>
      </c>
      <c r="D58" s="1">
        <f t="shared" si="19"/>
        <v>9.1316176258093673</v>
      </c>
      <c r="E58" s="1">
        <f t="shared" si="14"/>
        <v>63.921323380665569</v>
      </c>
      <c r="G58" s="78">
        <f>'Price list REWE '!E55</f>
        <v>4.9800000000000004</v>
      </c>
      <c r="H58" s="31">
        <f t="shared" si="15"/>
        <v>4.547545577653065E-2</v>
      </c>
      <c r="J58" s="42">
        <f>'Price list REWE '!H55</f>
        <v>4.9800000000000004</v>
      </c>
      <c r="K58" s="42">
        <f t="shared" si="16"/>
        <v>4.547545577653065E-2</v>
      </c>
      <c r="M58" s="31">
        <f>'Price list ALDI Süd'!E55</f>
        <v>3.98</v>
      </c>
      <c r="N58" s="31">
        <f t="shared" si="17"/>
        <v>3.6343838150721279E-2</v>
      </c>
      <c r="P58" s="42">
        <f>'Price list ALDI Süd'!H55</f>
        <v>3.98</v>
      </c>
      <c r="Q58" s="42">
        <f t="shared" si="18"/>
        <v>3.6343838150721279E-2</v>
      </c>
    </row>
    <row r="59" spans="1:17" x14ac:dyDescent="0.2">
      <c r="A59" s="9">
        <v>10</v>
      </c>
      <c r="B59" s="11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210</v>
      </c>
      <c r="E60" s="4">
        <f>D60*$E$10</f>
        <v>1470</v>
      </c>
      <c r="F60" s="4">
        <f>153*C4</f>
        <v>128.51999999999998</v>
      </c>
    </row>
    <row r="61" spans="1:17" ht="17" x14ac:dyDescent="0.2">
      <c r="B61" s="1" t="s">
        <v>129</v>
      </c>
      <c r="D61" s="1">
        <f>100*C4</f>
        <v>84</v>
      </c>
      <c r="E61" s="1">
        <f t="shared" ref="E61:E69" si="20">D61*$E$10</f>
        <v>588</v>
      </c>
      <c r="G61" s="31">
        <f>'Price list REWE '!E58</f>
        <v>1.05</v>
      </c>
      <c r="H61" s="31">
        <f t="shared" ref="H61:H69" si="21">G61/1000*D61</f>
        <v>8.8200000000000014E-2</v>
      </c>
      <c r="J61" s="42">
        <f>'Price list REWE '!H58</f>
        <v>1.25</v>
      </c>
      <c r="K61" s="42">
        <f t="shared" ref="K61:K69" si="22">J61/1000*D61</f>
        <v>0.105</v>
      </c>
      <c r="M61" s="31">
        <f>'Price list ALDI Süd'!E58</f>
        <v>1.05</v>
      </c>
      <c r="N61" s="31">
        <f t="shared" ref="N61:N69" si="23">M61/1000*D61</f>
        <v>8.8200000000000014E-2</v>
      </c>
      <c r="P61" s="42">
        <f>'Price list ALDI Süd'!H58</f>
        <v>1.25</v>
      </c>
      <c r="Q61" s="42">
        <f t="shared" ref="Q61:Q69" si="24">P61/1000*D61</f>
        <v>0.105</v>
      </c>
    </row>
    <row r="62" spans="1:17" ht="17" x14ac:dyDescent="0.2">
      <c r="B62" s="1" t="s">
        <v>132</v>
      </c>
      <c r="D62" s="1">
        <f>80*C4</f>
        <v>67.2</v>
      </c>
      <c r="E62" s="1">
        <f t="shared" si="20"/>
        <v>470.40000000000003</v>
      </c>
      <c r="G62" s="31">
        <f>'Price list REWE '!E59</f>
        <v>1.7</v>
      </c>
      <c r="H62" s="31">
        <f t="shared" si="21"/>
        <v>0.11423999999999999</v>
      </c>
      <c r="J62" s="42">
        <f>'Price list REWE '!H59</f>
        <v>2.38</v>
      </c>
      <c r="K62" s="42">
        <f t="shared" si="22"/>
        <v>0.15993599999999999</v>
      </c>
      <c r="M62" s="31">
        <f>'Price list ALDI Süd'!E59</f>
        <v>1.7</v>
      </c>
      <c r="N62" s="31">
        <f t="shared" si="23"/>
        <v>0.11423999999999999</v>
      </c>
      <c r="P62" s="42">
        <f>'Price list ALDI Süd'!H59</f>
        <v>2.38</v>
      </c>
      <c r="Q62" s="42">
        <f t="shared" si="24"/>
        <v>0.15993599999999999</v>
      </c>
    </row>
    <row r="63" spans="1:17" ht="17" x14ac:dyDescent="0.2">
      <c r="B63" s="1" t="s">
        <v>135</v>
      </c>
      <c r="D63" s="1">
        <f>10*C4</f>
        <v>8.4</v>
      </c>
      <c r="E63" s="1">
        <f t="shared" si="20"/>
        <v>58.800000000000004</v>
      </c>
      <c r="G63" s="31">
        <f>'Price list REWE '!E60</f>
        <v>4.63</v>
      </c>
      <c r="H63" s="31">
        <f t="shared" si="21"/>
        <v>3.8891999999999996E-2</v>
      </c>
      <c r="J63" s="42">
        <f>'Price list REWE '!H60</f>
        <v>7.37</v>
      </c>
      <c r="K63" s="42">
        <f t="shared" si="22"/>
        <v>6.1907999999999998E-2</v>
      </c>
      <c r="M63" s="31">
        <f>'Price list ALDI Süd'!E60</f>
        <v>4.63</v>
      </c>
      <c r="N63" s="31">
        <f t="shared" si="23"/>
        <v>3.8891999999999996E-2</v>
      </c>
      <c r="P63" s="42">
        <f>'Price list ALDI Süd'!H60</f>
        <v>7.37</v>
      </c>
      <c r="Q63" s="42">
        <f t="shared" si="24"/>
        <v>6.1907999999999998E-2</v>
      </c>
    </row>
    <row r="64" spans="1:17" ht="17" x14ac:dyDescent="0.2">
      <c r="B64" s="1" t="s">
        <v>138</v>
      </c>
      <c r="D64" s="1">
        <f>10*C4</f>
        <v>8.4</v>
      </c>
      <c r="E64" s="1">
        <f t="shared" si="20"/>
        <v>58.800000000000004</v>
      </c>
      <c r="G64" s="31">
        <f>'Price list REWE '!E61</f>
        <v>2.98</v>
      </c>
      <c r="H64" s="31">
        <f t="shared" si="21"/>
        <v>2.5032000000000002E-2</v>
      </c>
      <c r="J64" s="42">
        <f>'Price list REWE '!H61</f>
        <v>4.2</v>
      </c>
      <c r="K64" s="42">
        <f t="shared" si="22"/>
        <v>3.5280000000000006E-2</v>
      </c>
      <c r="M64" s="31">
        <f>'Price list ALDI Süd'!E61</f>
        <v>2.8</v>
      </c>
      <c r="N64" s="31">
        <f t="shared" si="23"/>
        <v>2.3519999999999999E-2</v>
      </c>
      <c r="P64" s="42">
        <f>'Price list ALDI Süd'!H61</f>
        <v>4.2</v>
      </c>
      <c r="Q64" s="42">
        <f t="shared" si="24"/>
        <v>3.5280000000000006E-2</v>
      </c>
    </row>
    <row r="65" spans="1:17" ht="18" customHeight="1" x14ac:dyDescent="0.2">
      <c r="B65" s="1" t="s">
        <v>141</v>
      </c>
      <c r="D65" s="1">
        <f>10*C4</f>
        <v>8.4</v>
      </c>
      <c r="E65" s="1">
        <f t="shared" si="20"/>
        <v>58.800000000000004</v>
      </c>
      <c r="G65" s="31">
        <f>'Price list REWE '!E62</f>
        <v>7.92</v>
      </c>
      <c r="H65" s="31">
        <f t="shared" si="21"/>
        <v>6.6528000000000004E-2</v>
      </c>
      <c r="J65" s="42">
        <f>'Price list REWE '!H62</f>
        <v>10.32</v>
      </c>
      <c r="K65" s="42">
        <f t="shared" si="22"/>
        <v>8.6688000000000015E-2</v>
      </c>
      <c r="M65" s="31">
        <f>'Price list ALDI Süd'!E62</f>
        <v>7.92</v>
      </c>
      <c r="N65" s="31">
        <f t="shared" si="23"/>
        <v>6.6528000000000004E-2</v>
      </c>
      <c r="P65" s="42">
        <f>'Price list ALDI Süd'!H62</f>
        <v>10.32</v>
      </c>
      <c r="Q65" s="42">
        <f t="shared" si="24"/>
        <v>8.6688000000000015E-2</v>
      </c>
    </row>
    <row r="66" spans="1:17" ht="17" x14ac:dyDescent="0.2">
      <c r="B66" s="1" t="s">
        <v>144</v>
      </c>
      <c r="D66" s="1">
        <f>10*C4</f>
        <v>8.4</v>
      </c>
      <c r="E66" s="1">
        <f t="shared" si="20"/>
        <v>58.800000000000004</v>
      </c>
      <c r="G66" s="31">
        <f>'Price list REWE '!E63</f>
        <v>3.45</v>
      </c>
      <c r="H66" s="31">
        <f t="shared" si="21"/>
        <v>2.8980000000000006E-2</v>
      </c>
      <c r="J66" s="42">
        <f>'Price list REWE '!H63</f>
        <v>4.45</v>
      </c>
      <c r="K66" s="42">
        <f t="shared" si="22"/>
        <v>3.7380000000000004E-2</v>
      </c>
      <c r="M66" s="31">
        <f>'Price list ALDI Süd'!E63</f>
        <v>3.45</v>
      </c>
      <c r="N66" s="31">
        <f t="shared" si="23"/>
        <v>2.8980000000000006E-2</v>
      </c>
      <c r="P66" s="42">
        <f>'Price list ALDI Süd'!H63</f>
        <v>4.25</v>
      </c>
      <c r="Q66" s="42">
        <f t="shared" si="24"/>
        <v>3.5700000000000003E-2</v>
      </c>
    </row>
    <row r="67" spans="1:17" ht="34" x14ac:dyDescent="0.2">
      <c r="B67" s="1" t="s">
        <v>401</v>
      </c>
      <c r="D67" s="1">
        <f>10*C4</f>
        <v>8.4</v>
      </c>
      <c r="E67" s="1">
        <f t="shared" si="20"/>
        <v>58.800000000000004</v>
      </c>
      <c r="G67" s="31">
        <f>'Price list REWE '!E64</f>
        <v>7.48</v>
      </c>
      <c r="H67" s="31">
        <f t="shared" si="21"/>
        <v>6.2832000000000013E-2</v>
      </c>
      <c r="J67" s="42">
        <f>'Price list REWE '!H64</f>
        <v>12.6</v>
      </c>
      <c r="K67" s="42">
        <f t="shared" si="22"/>
        <v>0.10584</v>
      </c>
      <c r="M67" s="31">
        <f>'Price list ALDI Süd'!E64</f>
        <v>9.9600000000000009</v>
      </c>
      <c r="N67" s="31">
        <f t="shared" si="23"/>
        <v>8.3664000000000002E-2</v>
      </c>
      <c r="P67" s="42">
        <f>'Price list ALDI Süd'!H64</f>
        <v>10.95</v>
      </c>
      <c r="Q67" s="42">
        <f t="shared" si="24"/>
        <v>9.1980000000000006E-2</v>
      </c>
    </row>
    <row r="68" spans="1:17" ht="34" x14ac:dyDescent="0.2">
      <c r="B68" s="1" t="s">
        <v>402</v>
      </c>
      <c r="D68" s="1">
        <f>10*C4</f>
        <v>8.4</v>
      </c>
      <c r="E68" s="1">
        <f t="shared" si="20"/>
        <v>58.800000000000004</v>
      </c>
      <c r="G68" s="31">
        <f>'Price list REWE '!E65</f>
        <v>11.56</v>
      </c>
      <c r="H68" s="31">
        <f t="shared" si="21"/>
        <v>9.710400000000001E-2</v>
      </c>
      <c r="J68" s="42">
        <f>'Price list REWE '!H65</f>
        <v>14.6</v>
      </c>
      <c r="K68" s="42">
        <f t="shared" si="22"/>
        <v>0.12264000000000001</v>
      </c>
      <c r="M68" s="31">
        <f>'Price list ALDI Süd'!E65</f>
        <v>11.56</v>
      </c>
      <c r="N68" s="31">
        <f t="shared" si="23"/>
        <v>9.710400000000001E-2</v>
      </c>
      <c r="P68" s="42">
        <f>'Price list ALDI Süd'!H65</f>
        <v>14.6</v>
      </c>
      <c r="Q68" s="42">
        <f t="shared" si="24"/>
        <v>0.12264000000000001</v>
      </c>
    </row>
    <row r="69" spans="1:17" ht="17" x14ac:dyDescent="0.2">
      <c r="B69" s="1" t="s">
        <v>403</v>
      </c>
      <c r="D69" s="1">
        <f>10*C4</f>
        <v>8.4</v>
      </c>
      <c r="E69" s="1">
        <f t="shared" si="20"/>
        <v>58.800000000000004</v>
      </c>
      <c r="G69" s="31">
        <f>'Price list REWE '!E66</f>
        <v>9.9499999999999993</v>
      </c>
      <c r="H69" s="31">
        <f t="shared" si="21"/>
        <v>8.3579999999999988E-2</v>
      </c>
      <c r="J69" s="42">
        <f>'Price list REWE '!H66</f>
        <v>13.27</v>
      </c>
      <c r="K69" s="42">
        <f t="shared" si="22"/>
        <v>0.111468</v>
      </c>
      <c r="M69" s="31">
        <f>'Price list ALDI Süd'!E66</f>
        <v>9.9499999999999993</v>
      </c>
      <c r="N69" s="31">
        <f t="shared" si="23"/>
        <v>8.3579999999999988E-2</v>
      </c>
      <c r="P69" s="42">
        <f>'Price list ALDI Süd'!H66</f>
        <v>13.28</v>
      </c>
      <c r="Q69" s="42">
        <f t="shared" si="24"/>
        <v>0.11155200000000001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7*C4</f>
        <v>5.88</v>
      </c>
      <c r="E71" s="4">
        <f>D71*E10</f>
        <v>41.16</v>
      </c>
      <c r="F71" s="4">
        <f>15*C4</f>
        <v>12.6</v>
      </c>
    </row>
    <row r="72" spans="1:17" ht="17" x14ac:dyDescent="0.2">
      <c r="B72" s="1" t="s">
        <v>158</v>
      </c>
      <c r="D72" s="1">
        <f>7*C4</f>
        <v>5.88</v>
      </c>
      <c r="E72" s="1">
        <f>D72*7</f>
        <v>41.16</v>
      </c>
      <c r="G72" s="31">
        <f>'Price list REWE '!E69</f>
        <v>13.96</v>
      </c>
      <c r="H72" s="31">
        <f>G72/1000*D72</f>
        <v>8.2084799999999999E-2</v>
      </c>
      <c r="J72" s="42">
        <f>'Price list REWE '!H69</f>
        <v>15.9</v>
      </c>
      <c r="K72" s="42">
        <f>J72/1000*D72</f>
        <v>9.3492000000000006E-2</v>
      </c>
      <c r="M72" s="31">
        <f>'Price list ALDI Süd'!E69</f>
        <v>9.7799999999999994</v>
      </c>
      <c r="N72" s="31">
        <f>M72/1000*D72</f>
        <v>5.7506399999999992E-2</v>
      </c>
      <c r="P72" s="42">
        <f>'Price list ALDI Süd'!H69</f>
        <v>11.98</v>
      </c>
      <c r="Q72" s="42">
        <f>P72/1000*D72</f>
        <v>7.0442400000000002E-2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7*C4</f>
        <v>5.88</v>
      </c>
      <c r="E74" s="4">
        <f>D74*E10</f>
        <v>41.16</v>
      </c>
      <c r="F74" s="4">
        <f>15*C4</f>
        <v>12.6</v>
      </c>
    </row>
    <row r="75" spans="1:17" ht="17" x14ac:dyDescent="0.2">
      <c r="B75" s="1" t="s">
        <v>162</v>
      </c>
      <c r="D75" s="1">
        <f>7*C4</f>
        <v>5.88</v>
      </c>
      <c r="E75" s="1">
        <f>D75*7</f>
        <v>41.16</v>
      </c>
      <c r="G75" s="31">
        <f>'Price list REWE '!E72</f>
        <v>8.98</v>
      </c>
      <c r="H75" s="31">
        <f>G75/1000*D75</f>
        <v>5.2802399999999999E-2</v>
      </c>
      <c r="J75" s="42">
        <f>'Price list REWE '!H72</f>
        <v>29.9</v>
      </c>
      <c r="K75" s="42">
        <f>J75/1000*D75</f>
        <v>0.175812</v>
      </c>
      <c r="M75" s="31">
        <f>'Price list ALDI Süd'!E72</f>
        <v>8.98</v>
      </c>
      <c r="N75" s="31">
        <f>M75/1000*D75</f>
        <v>5.2802399999999999E-2</v>
      </c>
      <c r="P75" s="42">
        <f>'Price list ALDI Süd'!H72</f>
        <v>17.96</v>
      </c>
      <c r="Q75" s="42">
        <f>P75/1000*D75</f>
        <v>0.1056048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29*C4</f>
        <v>24.36</v>
      </c>
      <c r="E77" s="4">
        <f>D77*E10</f>
        <v>170.51999999999998</v>
      </c>
      <c r="F77" s="4">
        <f>62*C4</f>
        <v>52.08</v>
      </c>
    </row>
    <row r="78" spans="1:17" ht="17" x14ac:dyDescent="0.2">
      <c r="B78" s="1" t="s">
        <v>166</v>
      </c>
      <c r="D78" s="1">
        <f>29*C4</f>
        <v>24.36</v>
      </c>
      <c r="E78" s="1">
        <f>D78*7</f>
        <v>170.51999999999998</v>
      </c>
      <c r="G78" s="31">
        <f>'Price list REWE '!E75</f>
        <v>9.98</v>
      </c>
      <c r="H78" s="31">
        <f>G78/1000*D78</f>
        <v>0.24311280000000002</v>
      </c>
      <c r="J78" s="42">
        <f>'Price list REWE '!H75</f>
        <v>34.9</v>
      </c>
      <c r="K78" s="42">
        <f>J78/1000*D78</f>
        <v>0.85016400000000003</v>
      </c>
      <c r="M78" s="31">
        <f>'Price list ALDI Süd'!E75</f>
        <v>9.98</v>
      </c>
      <c r="N78" s="31">
        <f>M78/1000*D78</f>
        <v>0.24311280000000002</v>
      </c>
      <c r="P78" s="42">
        <f>'Price list ALDI Süd'!H75</f>
        <v>24.99</v>
      </c>
      <c r="Q78" s="42">
        <f>P78/1000*D78</f>
        <v>0.60875639999999998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10.92</v>
      </c>
      <c r="E80" s="4">
        <f>D80*E10</f>
        <v>76.44</v>
      </c>
      <c r="F80" s="4">
        <f>19*C4</f>
        <v>15.959999999999999</v>
      </c>
    </row>
    <row r="81" spans="1:17" ht="17" x14ac:dyDescent="0.2">
      <c r="B81" s="1" t="s">
        <v>170</v>
      </c>
      <c r="D81" s="1">
        <f>13*C4</f>
        <v>10.92</v>
      </c>
      <c r="E81" s="1">
        <f>D81*7</f>
        <v>76.44</v>
      </c>
      <c r="G81" s="31">
        <f>'Price list REWE '!E78</f>
        <v>3.98</v>
      </c>
      <c r="H81" s="31">
        <f>G81/1000*D81</f>
        <v>4.3461600000000003E-2</v>
      </c>
      <c r="J81" s="42">
        <f>'Price list REWE '!H78</f>
        <v>7.9666666666666677</v>
      </c>
      <c r="K81" s="42">
        <f>J81/1000*D81</f>
        <v>8.6996000000000004E-2</v>
      </c>
      <c r="M81" s="31">
        <f>'Price list ALDI Süd'!E78</f>
        <v>3.98</v>
      </c>
      <c r="N81" s="31">
        <f>M81/1000*D81</f>
        <v>4.3461600000000003E-2</v>
      </c>
      <c r="P81" s="42">
        <f>'Price list ALDI Süd'!H78</f>
        <v>6.38</v>
      </c>
      <c r="Q81" s="42">
        <f>P81/1000*D81</f>
        <v>6.9669599999999998E-2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28*C4</f>
        <v>23.52</v>
      </c>
      <c r="E83" s="4">
        <f>D83*E10</f>
        <v>164.64</v>
      </c>
      <c r="F83" s="4">
        <f>40*C4</f>
        <v>33.6</v>
      </c>
    </row>
    <row r="84" spans="1:17" ht="17" x14ac:dyDescent="0.2">
      <c r="B84" s="1" t="s">
        <v>174</v>
      </c>
      <c r="D84" s="1">
        <f>D83/3</f>
        <v>7.84</v>
      </c>
      <c r="E84" s="1">
        <f>D84*7</f>
        <v>54.879999999999995</v>
      </c>
      <c r="G84" s="31">
        <f>'Price list REWE '!E81</f>
        <v>23.96</v>
      </c>
      <c r="H84" s="31">
        <f>G84/1000*D84</f>
        <v>0.18784640000000002</v>
      </c>
      <c r="J84" s="42">
        <f>'Price list REWE '!H81</f>
        <v>31.96</v>
      </c>
      <c r="K84" s="42">
        <f>J84/1000*D84</f>
        <v>0.25056640000000002</v>
      </c>
      <c r="M84" s="31">
        <f>'Price list ALDI Süd'!E81</f>
        <v>23.96</v>
      </c>
      <c r="N84" s="31">
        <f>M84/1000*D84</f>
        <v>0.18784640000000002</v>
      </c>
      <c r="P84" s="42">
        <f>'Price list ALDI Süd'!H81</f>
        <v>31.96</v>
      </c>
      <c r="Q84" s="42">
        <f>P84/1000*D84</f>
        <v>0.25056640000000002</v>
      </c>
    </row>
    <row r="85" spans="1:17" ht="17" x14ac:dyDescent="0.2">
      <c r="B85" s="1" t="s">
        <v>177</v>
      </c>
      <c r="D85" s="1">
        <f>D83/3</f>
        <v>7.84</v>
      </c>
      <c r="E85" s="1">
        <f>D85*7</f>
        <v>54.879999999999995</v>
      </c>
      <c r="G85" s="31">
        <f>'Price list REWE '!E82</f>
        <v>7.49</v>
      </c>
      <c r="H85" s="31">
        <f>G85/1000*D85</f>
        <v>5.8721599999999999E-2</v>
      </c>
      <c r="J85" s="42">
        <f>'Price list REWE '!H82</f>
        <v>7.49</v>
      </c>
      <c r="K85" s="42">
        <f>J85/1000*D85</f>
        <v>5.8721599999999999E-2</v>
      </c>
      <c r="M85" s="31">
        <f>'Price list ALDI Süd'!E82</f>
        <v>7.49</v>
      </c>
      <c r="N85" s="31">
        <f>M85/1000*D85</f>
        <v>5.8721599999999999E-2</v>
      </c>
      <c r="P85" s="42">
        <f>'Price list ALDI Süd'!H82</f>
        <v>7.49</v>
      </c>
      <c r="Q85" s="42">
        <f>P85/1000*D85</f>
        <v>5.8721599999999999E-2</v>
      </c>
    </row>
    <row r="86" spans="1:17" ht="17" x14ac:dyDescent="0.2">
      <c r="B86" s="1" t="s">
        <v>179</v>
      </c>
      <c r="D86" s="1">
        <f>D83/3</f>
        <v>7.84</v>
      </c>
      <c r="E86" s="1">
        <f>D86*7</f>
        <v>54.879999999999995</v>
      </c>
      <c r="G86" s="31">
        <f>'Price list REWE '!E83</f>
        <v>7.6410256410256414</v>
      </c>
      <c r="H86" s="31">
        <f>G86/1000*D86</f>
        <v>5.9905641025641027E-2</v>
      </c>
      <c r="J86" s="42">
        <f>'Price list REWE '!H83</f>
        <v>20.5625</v>
      </c>
      <c r="K86" s="42">
        <f>J86/1000*D86</f>
        <v>0.16120999999999999</v>
      </c>
      <c r="M86" s="31">
        <f>'Price list ALDI Süd'!E83</f>
        <v>7.6410256410256414</v>
      </c>
      <c r="N86" s="31">
        <f>M86/1000*D86</f>
        <v>5.9905641025641027E-2</v>
      </c>
      <c r="P86" s="42">
        <f>'Price list ALDI Süd'!H83</f>
        <v>20.5625</v>
      </c>
      <c r="Q86" s="42">
        <f>P86/1000*D86</f>
        <v>0.16120999999999999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50*C4</f>
        <v>42</v>
      </c>
      <c r="E88" s="4">
        <f>D88*$E$10</f>
        <v>294</v>
      </c>
      <c r="F88" s="4">
        <f>172*C4</f>
        <v>144.47999999999999</v>
      </c>
    </row>
    <row r="89" spans="1:17" ht="17" x14ac:dyDescent="0.2">
      <c r="B89" s="1" t="s">
        <v>183</v>
      </c>
      <c r="D89" s="1">
        <f>$D$88/6</f>
        <v>7</v>
      </c>
      <c r="E89" s="1">
        <f t="shared" ref="E89:E94" si="25">D89*$E$10</f>
        <v>49</v>
      </c>
      <c r="G89" s="31">
        <f>'Price list REWE '!E86</f>
        <v>4.58</v>
      </c>
      <c r="H89" s="31">
        <f t="shared" ref="H89:H94" si="26">G89/1000*D89</f>
        <v>3.2059999999999998E-2</v>
      </c>
      <c r="J89" s="42">
        <f>'Price list REWE '!H86</f>
        <v>3.3</v>
      </c>
      <c r="K89" s="42">
        <f t="shared" ref="K89:K94" si="27">J89/1000*D89</f>
        <v>2.3099999999999999E-2</v>
      </c>
      <c r="M89" s="31">
        <f>'Price list ALDI Süd'!E86</f>
        <v>3.98</v>
      </c>
      <c r="N89" s="31">
        <f t="shared" ref="N89:N94" si="28">M89/1000*D89</f>
        <v>2.7859999999999999E-2</v>
      </c>
      <c r="P89" s="42">
        <f>'Price list ALDI Süd'!H86</f>
        <v>3.3</v>
      </c>
      <c r="Q89" s="42">
        <f t="shared" ref="Q89:Q94" si="29">P89/1000*D89</f>
        <v>2.3099999999999999E-2</v>
      </c>
    </row>
    <row r="90" spans="1:17" ht="17" x14ac:dyDescent="0.2">
      <c r="B90" s="1" t="s">
        <v>186</v>
      </c>
      <c r="D90" s="1">
        <f t="shared" ref="D90:D94" si="30">$D$88/6</f>
        <v>7</v>
      </c>
      <c r="E90" s="1">
        <f t="shared" si="25"/>
        <v>49</v>
      </c>
      <c r="G90" s="31">
        <f>'Price list REWE '!E87</f>
        <v>2.9749999999999996</v>
      </c>
      <c r="H90" s="31">
        <f t="shared" si="26"/>
        <v>2.0825E-2</v>
      </c>
      <c r="J90" s="42">
        <f>'Price list REWE '!H87</f>
        <v>3.5833333333333335</v>
      </c>
      <c r="K90" s="42">
        <f t="shared" si="27"/>
        <v>2.5083333333333332E-2</v>
      </c>
      <c r="M90" s="31">
        <f>'Price list ALDI Süd'!E87</f>
        <v>2.9749999999999996</v>
      </c>
      <c r="N90" s="31">
        <f t="shared" si="28"/>
        <v>2.0825E-2</v>
      </c>
      <c r="P90" s="42">
        <f>'Price list ALDI Süd'!H87</f>
        <v>3.5833333333333335</v>
      </c>
      <c r="Q90" s="42">
        <f t="shared" si="29"/>
        <v>2.5083333333333332E-2</v>
      </c>
    </row>
    <row r="91" spans="1:17" ht="17" x14ac:dyDescent="0.2">
      <c r="B91" s="1" t="s">
        <v>189</v>
      </c>
      <c r="D91" s="1">
        <f t="shared" si="30"/>
        <v>7</v>
      </c>
      <c r="E91" s="1">
        <f t="shared" si="25"/>
        <v>49</v>
      </c>
      <c r="G91" s="31">
        <f>'Price list REWE '!E88</f>
        <v>1.7249999999999999</v>
      </c>
      <c r="H91" s="31">
        <f t="shared" si="26"/>
        <v>1.2074999999999999E-2</v>
      </c>
      <c r="J91" s="42">
        <f>'Price list REWE '!H88</f>
        <v>2.75</v>
      </c>
      <c r="K91" s="42">
        <f t="shared" si="27"/>
        <v>1.925E-2</v>
      </c>
      <c r="M91" s="31">
        <f>'Price list ALDI Süd'!E88</f>
        <v>1.7249999999999999</v>
      </c>
      <c r="N91" s="31">
        <f t="shared" si="28"/>
        <v>1.2074999999999999E-2</v>
      </c>
      <c r="P91" s="42">
        <f>'Price list ALDI Süd'!H88</f>
        <v>2.75</v>
      </c>
      <c r="Q91" s="42">
        <f t="shared" si="29"/>
        <v>1.925E-2</v>
      </c>
    </row>
    <row r="92" spans="1:17" ht="17" x14ac:dyDescent="0.2">
      <c r="B92" s="1" t="s">
        <v>192</v>
      </c>
      <c r="D92" s="1">
        <f t="shared" si="30"/>
        <v>7</v>
      </c>
      <c r="E92" s="1">
        <f t="shared" si="25"/>
        <v>49</v>
      </c>
      <c r="G92" s="31">
        <f>'Price list REWE '!E89</f>
        <v>1.99</v>
      </c>
      <c r="H92" s="31">
        <f t="shared" si="26"/>
        <v>1.393E-2</v>
      </c>
      <c r="J92" s="42">
        <f>'Price list REWE '!H89</f>
        <v>3.98</v>
      </c>
      <c r="K92" s="42">
        <f t="shared" si="27"/>
        <v>2.7859999999999999E-2</v>
      </c>
      <c r="M92" s="31">
        <f>'Price list ALDI Süd'!E89</f>
        <v>1.99</v>
      </c>
      <c r="N92" s="31">
        <f t="shared" si="28"/>
        <v>1.393E-2</v>
      </c>
      <c r="P92" s="42">
        <f>'Price list ALDI Süd'!H89</f>
        <v>3.32</v>
      </c>
      <c r="Q92" s="42">
        <f t="shared" si="29"/>
        <v>2.324E-2</v>
      </c>
    </row>
    <row r="93" spans="1:17" ht="17" x14ac:dyDescent="0.2">
      <c r="B93" s="1" t="s">
        <v>622</v>
      </c>
      <c r="D93" s="1">
        <f t="shared" si="30"/>
        <v>7</v>
      </c>
      <c r="E93" s="1">
        <f t="shared" si="25"/>
        <v>49</v>
      </c>
      <c r="G93" s="31">
        <f>'Price list REWE '!E90</f>
        <v>1.7249999999999999</v>
      </c>
      <c r="H93" s="31">
        <f t="shared" si="26"/>
        <v>1.2074999999999999E-2</v>
      </c>
      <c r="J93" s="42">
        <f>'Price list REWE '!H90</f>
        <v>3</v>
      </c>
      <c r="K93" s="42">
        <f t="shared" si="27"/>
        <v>2.1000000000000001E-2</v>
      </c>
      <c r="M93" s="31">
        <f>'Price list ALDI Süd'!E90</f>
        <v>1.7249999999999999</v>
      </c>
      <c r="N93" s="31">
        <f t="shared" si="28"/>
        <v>1.2074999999999999E-2</v>
      </c>
      <c r="P93" s="42">
        <f>'Price list ALDI Süd'!H90</f>
        <v>2.75</v>
      </c>
      <c r="Q93" s="42">
        <f t="shared" si="29"/>
        <v>1.925E-2</v>
      </c>
    </row>
    <row r="94" spans="1:17" ht="17" x14ac:dyDescent="0.2">
      <c r="B94" s="1" t="s">
        <v>623</v>
      </c>
      <c r="D94" s="1">
        <f t="shared" si="30"/>
        <v>7</v>
      </c>
      <c r="E94" s="1">
        <f t="shared" si="25"/>
        <v>49</v>
      </c>
      <c r="G94" s="31">
        <f>'Price list REWE '!E91</f>
        <v>2.0441176470588234</v>
      </c>
      <c r="H94" s="31">
        <f t="shared" si="26"/>
        <v>1.4308823529411764E-2</v>
      </c>
      <c r="J94" s="42">
        <f>'Price list REWE '!H91</f>
        <v>2.0441176470588234</v>
      </c>
      <c r="K94" s="42">
        <f t="shared" si="27"/>
        <v>1.4308823529411764E-2</v>
      </c>
      <c r="M94" s="31">
        <f>'Price list ALDI Süd'!E91</f>
        <v>3.3559322033898304</v>
      </c>
      <c r="N94" s="31">
        <f t="shared" si="28"/>
        <v>2.3491525423728812E-2</v>
      </c>
      <c r="P94" s="42">
        <f>'Price list ALDI Süd'!H91</f>
        <v>3.3559322033898304</v>
      </c>
      <c r="Q94" s="42">
        <f t="shared" si="29"/>
        <v>2.3491525423728812E-2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25*C4</f>
        <v>21</v>
      </c>
      <c r="E96" s="4">
        <f>D96*E10</f>
        <v>147</v>
      </c>
      <c r="F96" s="4">
        <f>112*C4</f>
        <v>94.08</v>
      </c>
    </row>
    <row r="97" spans="1:17" ht="17" x14ac:dyDescent="0.2">
      <c r="B97" s="1" t="s">
        <v>201</v>
      </c>
      <c r="D97" s="1">
        <f>D96/2</f>
        <v>10.5</v>
      </c>
      <c r="E97" s="1">
        <f>D97*7</f>
        <v>73.5</v>
      </c>
      <c r="G97" s="31">
        <f>'Price list REWE '!E94</f>
        <v>5.48</v>
      </c>
      <c r="H97" s="31">
        <f>G97/1000*D97</f>
        <v>5.7540000000000008E-2</v>
      </c>
      <c r="J97" s="42">
        <f>'Price list REWE '!H94</f>
        <v>5.48</v>
      </c>
      <c r="K97" s="42">
        <f>J97/1000*D97</f>
        <v>5.7540000000000008E-2</v>
      </c>
      <c r="M97" s="31">
        <f>'Price list ALDI Süd'!E94</f>
        <v>5.48</v>
      </c>
      <c r="N97" s="31">
        <f>M97/1000*D97</f>
        <v>5.7540000000000008E-2</v>
      </c>
      <c r="P97" s="42">
        <f>'Price list ALDI Süd'!H94</f>
        <v>5.48</v>
      </c>
      <c r="Q97" s="42">
        <f>P97/1000*D97</f>
        <v>5.7540000000000008E-2</v>
      </c>
    </row>
    <row r="98" spans="1:17" ht="17" x14ac:dyDescent="0.2">
      <c r="B98" s="1" t="s">
        <v>203</v>
      </c>
      <c r="D98" s="1">
        <f>D96/2</f>
        <v>10.5</v>
      </c>
      <c r="E98" s="1">
        <f>D98*7</f>
        <v>73.5</v>
      </c>
      <c r="G98" s="31">
        <f>'Price list REWE '!E95</f>
        <v>6.26</v>
      </c>
      <c r="H98" s="31">
        <f>G98/1000*D98</f>
        <v>6.5729999999999997E-2</v>
      </c>
      <c r="J98" s="42">
        <f>'Price list REWE '!H95</f>
        <v>6.26</v>
      </c>
      <c r="K98" s="42">
        <f>J98/1000*D98</f>
        <v>6.5729999999999997E-2</v>
      </c>
      <c r="M98" s="31">
        <f>'Price list ALDI Süd'!E95</f>
        <v>6.26</v>
      </c>
      <c r="N98" s="31">
        <f>M98/1000*D98</f>
        <v>6.5729999999999997E-2</v>
      </c>
      <c r="P98" s="42">
        <f>'Price list ALDI Süd'!H95</f>
        <v>6.26</v>
      </c>
      <c r="Q98" s="42">
        <f>P98/1000*D98</f>
        <v>6.5729999999999997E-2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119.28</v>
      </c>
    </row>
    <row r="102" spans="1:17" ht="17" x14ac:dyDescent="0.2">
      <c r="A102" s="9">
        <v>1</v>
      </c>
      <c r="B102" s="1" t="s">
        <v>207</v>
      </c>
      <c r="D102" s="1">
        <f>25*C4</f>
        <v>21</v>
      </c>
      <c r="E102" s="1">
        <f>D102*E10</f>
        <v>147</v>
      </c>
      <c r="G102" s="31">
        <f>'Price list REWE '!E99</f>
        <v>4.9800000000000004</v>
      </c>
      <c r="H102" s="31">
        <f>G102/1000*D102</f>
        <v>0.10458000000000001</v>
      </c>
      <c r="J102" s="42">
        <f>'Price list REWE '!H99</f>
        <v>4.9800000000000004</v>
      </c>
      <c r="K102" s="42">
        <f>J102/1000*D102</f>
        <v>0.10458000000000001</v>
      </c>
      <c r="M102" s="31">
        <f>'Price list ALDI Süd'!E99</f>
        <v>4.9800000000000004</v>
      </c>
      <c r="N102" s="31">
        <f>M102/1000*D102</f>
        <v>0.10458000000000001</v>
      </c>
      <c r="P102" s="42">
        <f>'Price list ALDI Süd'!H99</f>
        <v>4.9800000000000004</v>
      </c>
      <c r="Q102" s="42">
        <f>P102/1000*D102</f>
        <v>0.10458000000000001</v>
      </c>
    </row>
    <row r="103" spans="1:17" x14ac:dyDescent="0.2"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21</v>
      </c>
      <c r="E104" s="8">
        <f>D104*7</f>
        <v>147</v>
      </c>
      <c r="F104" s="8">
        <f>149*C4</f>
        <v>125.16</v>
      </c>
    </row>
    <row r="105" spans="1:17" ht="17" x14ac:dyDescent="0.2">
      <c r="B105" s="1" t="s">
        <v>210</v>
      </c>
      <c r="D105" s="7">
        <f>D104/2</f>
        <v>10.5</v>
      </c>
      <c r="E105" s="1">
        <f>D105*7</f>
        <v>73.5</v>
      </c>
      <c r="G105" s="31">
        <f>'Price list REWE '!E102</f>
        <v>11.45</v>
      </c>
      <c r="H105" s="31">
        <f>G105/1000*D105</f>
        <v>0.120225</v>
      </c>
      <c r="J105" s="42">
        <f>'Price list REWE '!H102</f>
        <v>17.95</v>
      </c>
      <c r="K105" s="42">
        <f>J105/1000*D105</f>
        <v>0.188475</v>
      </c>
      <c r="M105" s="31">
        <f>'Price list ALDI Süd'!E102</f>
        <v>11.45</v>
      </c>
      <c r="N105" s="31">
        <f>M105/1000*D105</f>
        <v>0.120225</v>
      </c>
      <c r="P105" s="42">
        <f>'Price list ALDI Süd'!H102</f>
        <v>14.75</v>
      </c>
      <c r="Q105" s="42">
        <f>P105/1000*D105</f>
        <v>0.15487499999999998</v>
      </c>
    </row>
    <row r="106" spans="1:17" ht="17" x14ac:dyDescent="0.2">
      <c r="B106" s="1" t="s">
        <v>213</v>
      </c>
      <c r="D106" s="7">
        <f>D104/2</f>
        <v>10.5</v>
      </c>
      <c r="E106" s="1">
        <f>D106*7</f>
        <v>73.5</v>
      </c>
      <c r="F106" s="7"/>
      <c r="G106" s="31">
        <f>'Price list REWE '!E103</f>
        <v>11.45</v>
      </c>
      <c r="H106" s="31">
        <f>G106/1000*D106</f>
        <v>0.120225</v>
      </c>
      <c r="J106" s="42">
        <f>'Price list REWE '!H103</f>
        <v>11.45</v>
      </c>
      <c r="K106" s="42">
        <f>J106/1000*D106</f>
        <v>0.120225</v>
      </c>
      <c r="M106" s="31">
        <f>'Price list ALDI Süd'!E103</f>
        <v>11.45</v>
      </c>
      <c r="N106" s="31">
        <f>M106/1000*D106</f>
        <v>0.120225</v>
      </c>
      <c r="P106" s="42">
        <f>'Price list ALDI Süd'!H103</f>
        <v>11.45</v>
      </c>
      <c r="Q106" s="42">
        <f>P106/1000*D106</f>
        <v>0.120225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5.7119999999999997</v>
      </c>
      <c r="E108" s="8">
        <f>D108*7</f>
        <v>39.983999999999995</v>
      </c>
      <c r="F108" s="8">
        <f>60*C4</f>
        <v>50.4</v>
      </c>
    </row>
    <row r="109" spans="1:17" ht="17" x14ac:dyDescent="0.2">
      <c r="B109" s="1" t="s">
        <v>216</v>
      </c>
      <c r="D109" s="1">
        <f>D108</f>
        <v>5.7119999999999997</v>
      </c>
      <c r="E109" s="1">
        <f>D109*7</f>
        <v>39.983999999999995</v>
      </c>
      <c r="F109" s="7"/>
      <c r="G109" s="31">
        <f>'Price list REWE '!E106</f>
        <v>2.98</v>
      </c>
      <c r="H109" s="31">
        <f>G109/1000*D109</f>
        <v>1.702176E-2</v>
      </c>
      <c r="J109" s="42">
        <f>'Price list REWE '!H106</f>
        <v>7.16</v>
      </c>
      <c r="K109" s="42">
        <f>J109/1000*D109</f>
        <v>4.0897920000000004E-2</v>
      </c>
      <c r="M109" s="31">
        <f>'Price list ALDI Süd'!E106</f>
        <v>3.38</v>
      </c>
      <c r="N109" s="31">
        <f>M109/1000*D109</f>
        <v>1.9306559999999997E-2</v>
      </c>
      <c r="P109" s="42">
        <f>'Price list ALDI Süd'!H106</f>
        <v>7.16</v>
      </c>
      <c r="Q109" s="42">
        <f>P109/1000*D109</f>
        <v>4.0897920000000004E-2</v>
      </c>
    </row>
    <row r="110" spans="1:17" x14ac:dyDescent="0.2">
      <c r="A110" s="9">
        <v>1</v>
      </c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33.6</v>
      </c>
      <c r="E111" s="8">
        <f>D111*7</f>
        <v>235.20000000000002</v>
      </c>
      <c r="F111" s="8">
        <f>354*C4</f>
        <v>297.36</v>
      </c>
    </row>
    <row r="112" spans="1:17" ht="17" x14ac:dyDescent="0.2">
      <c r="B112" s="1" t="s">
        <v>220</v>
      </c>
      <c r="D112" s="1">
        <f>$D$111/3</f>
        <v>11.200000000000001</v>
      </c>
      <c r="E112" s="7">
        <f>D112*7</f>
        <v>78.400000000000006</v>
      </c>
      <c r="G112" s="31">
        <f>'Price list REWE '!E109</f>
        <v>3.78</v>
      </c>
      <c r="H112" s="31">
        <f>G112/1000*D112</f>
        <v>4.2336000000000006E-2</v>
      </c>
      <c r="J112" s="42">
        <f>'Price list REWE '!H109</f>
        <v>3.5</v>
      </c>
      <c r="K112" s="42">
        <f>J112/1000*D112</f>
        <v>3.9200000000000006E-2</v>
      </c>
      <c r="M112" s="31">
        <f>'Price list ALDI Süd'!E109</f>
        <v>1.851</v>
      </c>
      <c r="N112" s="31">
        <f>M112/1000*D112</f>
        <v>2.0731200000000002E-2</v>
      </c>
      <c r="P112" s="42">
        <f>'Price list ALDI Süd'!H109</f>
        <v>3.7</v>
      </c>
      <c r="Q112" s="42">
        <f>P112/1000*D112</f>
        <v>4.1440000000000005E-2</v>
      </c>
    </row>
    <row r="113" spans="1:17" ht="17" x14ac:dyDescent="0.2">
      <c r="A113" s="1"/>
      <c r="B113" s="1" t="s">
        <v>223</v>
      </c>
      <c r="D113" s="1">
        <f>$D$111/3</f>
        <v>11.200000000000001</v>
      </c>
      <c r="E113" s="1">
        <f>D113*7</f>
        <v>78.400000000000006</v>
      </c>
      <c r="G113" s="31">
        <f>'Price list REWE '!E110</f>
        <v>8.99</v>
      </c>
      <c r="H113" s="31">
        <f>G113/1000*D113</f>
        <v>0.100688</v>
      </c>
      <c r="J113" s="42">
        <f>'Price list REWE '!H110</f>
        <v>14.58</v>
      </c>
      <c r="K113" s="42">
        <f>J113/1000*D113</f>
        <v>0.163296</v>
      </c>
      <c r="M113" s="31">
        <f>'Price list ALDI Süd'!E110</f>
        <v>7.99</v>
      </c>
      <c r="N113" s="31">
        <f>M113/1000*D113</f>
        <v>8.9488000000000012E-2</v>
      </c>
      <c r="P113" s="42">
        <f>'Price list ALDI Süd'!H110</f>
        <v>9.32</v>
      </c>
      <c r="Q113" s="42">
        <f>P113/1000*D113</f>
        <v>0.10438400000000002</v>
      </c>
    </row>
    <row r="114" spans="1:17" ht="17" x14ac:dyDescent="0.2">
      <c r="A114" s="1"/>
      <c r="B114" s="1" t="s">
        <v>226</v>
      </c>
      <c r="D114" s="1">
        <f>$D$111/3</f>
        <v>11.200000000000001</v>
      </c>
      <c r="E114" s="1">
        <f>D114*7</f>
        <v>78.400000000000006</v>
      </c>
      <c r="F114" s="7"/>
      <c r="G114" s="31">
        <f>'Price list REWE '!E111</f>
        <v>10.36</v>
      </c>
      <c r="H114" s="31">
        <f>G114/1000*D114</f>
        <v>0.11603200000000001</v>
      </c>
      <c r="J114" s="42">
        <f>'Price list REWE '!H111</f>
        <v>15.96</v>
      </c>
      <c r="K114" s="42">
        <f>J114/1000*D114</f>
        <v>0.17875200000000005</v>
      </c>
      <c r="M114" s="31">
        <f>'Price list ALDI Süd'!E111</f>
        <v>6.76</v>
      </c>
      <c r="N114" s="31">
        <f>M114/1000*D114</f>
        <v>7.5712000000000002E-2</v>
      </c>
      <c r="P114" s="42">
        <f>'Price list ALDI Süd'!H111</f>
        <v>6.76</v>
      </c>
      <c r="Q114" s="42">
        <f>P114/1000*D114</f>
        <v>7.5712000000000002E-2</v>
      </c>
    </row>
    <row r="115" spans="1:17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30.24</v>
      </c>
    </row>
    <row r="117" spans="1:17" ht="17" x14ac:dyDescent="0.2">
      <c r="B117" s="1" t="s">
        <v>230</v>
      </c>
      <c r="D117" s="7">
        <f>5*C4</f>
        <v>4.2</v>
      </c>
      <c r="E117" s="7">
        <f>D117*7</f>
        <v>29.400000000000002</v>
      </c>
      <c r="G117" s="31">
        <f>'Price list REWE '!E114</f>
        <v>5.8</v>
      </c>
      <c r="H117" s="31">
        <f>G117/1000*D117</f>
        <v>2.436E-2</v>
      </c>
      <c r="J117" s="42">
        <f>'Price list REWE '!H114</f>
        <v>11.96</v>
      </c>
      <c r="K117" s="42">
        <f>J117/1000*D117</f>
        <v>5.0232000000000006E-2</v>
      </c>
      <c r="M117" s="31">
        <f>'Price list ALDI Süd'!E114</f>
        <v>5.8</v>
      </c>
      <c r="N117" s="31">
        <f>M117/1000*D117</f>
        <v>2.436E-2</v>
      </c>
      <c r="P117" s="42">
        <f>'Price list ALDI Süd'!H114</f>
        <v>11.96</v>
      </c>
      <c r="Q117" s="42">
        <f>P117/1000*D117</f>
        <v>5.0232000000000006E-2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7" x14ac:dyDescent="0.2">
      <c r="A119" s="12" t="s">
        <v>414</v>
      </c>
      <c r="D119" s="4">
        <f>31*C4</f>
        <v>26.04</v>
      </c>
      <c r="E119" s="4">
        <f>D119*E10</f>
        <v>182.28</v>
      </c>
      <c r="F119" s="4">
        <f>120*C4</f>
        <v>100.8</v>
      </c>
    </row>
    <row r="120" spans="1:17" ht="17" x14ac:dyDescent="0.2">
      <c r="A120" s="20"/>
      <c r="B120" s="1" t="s">
        <v>234</v>
      </c>
      <c r="D120" s="1">
        <f>D119/3</f>
        <v>8.68</v>
      </c>
      <c r="E120" s="1">
        <f>D120*7</f>
        <v>60.76</v>
      </c>
      <c r="G120" s="31">
        <f>'Price list REWE '!E117</f>
        <v>1.49</v>
      </c>
      <c r="H120" s="31">
        <f>G120/1000*D120</f>
        <v>1.2933199999999999E-2</v>
      </c>
      <c r="J120" s="42">
        <f>'Price list REWE '!H117</f>
        <v>2.59</v>
      </c>
      <c r="K120" s="42">
        <f>J120/1000*D120</f>
        <v>2.2481199999999996E-2</v>
      </c>
      <c r="M120" s="31">
        <f>'Price list ALDI Süd'!E117</f>
        <v>1.49</v>
      </c>
      <c r="N120" s="31">
        <f>M120/1000*D120</f>
        <v>1.2933199999999999E-2</v>
      </c>
      <c r="P120" s="42">
        <f>'Price list ALDI Süd'!H117</f>
        <v>2.59</v>
      </c>
      <c r="Q120" s="42">
        <f>P120/1000*D120</f>
        <v>2.2481199999999996E-2</v>
      </c>
    </row>
    <row r="121" spans="1:17" ht="17" x14ac:dyDescent="0.2">
      <c r="B121" s="1" t="s">
        <v>237</v>
      </c>
      <c r="D121" s="1">
        <f>D119/3</f>
        <v>8.68</v>
      </c>
      <c r="E121" s="1">
        <f>D121*7</f>
        <v>60.76</v>
      </c>
      <c r="G121" s="31">
        <f>'Price list REWE '!E118</f>
        <v>5.9</v>
      </c>
      <c r="H121" s="31">
        <f>G121/1000*D121</f>
        <v>5.1212000000000008E-2</v>
      </c>
      <c r="J121" s="42">
        <f>'Price list REWE '!H118</f>
        <v>12.9</v>
      </c>
      <c r="K121" s="42">
        <f>J121/1000*D121</f>
        <v>0.111972</v>
      </c>
      <c r="M121" s="31">
        <f>'Price list ALDI Süd'!E118</f>
        <v>5.9</v>
      </c>
      <c r="N121" s="31">
        <f>M121/1000*D121</f>
        <v>5.1212000000000008E-2</v>
      </c>
      <c r="P121" s="42">
        <f>'Price list ALDI Süd'!H118</f>
        <v>12.9</v>
      </c>
      <c r="Q121" s="42">
        <f>P121/1000*D121</f>
        <v>0.111972</v>
      </c>
    </row>
    <row r="122" spans="1:17" ht="17" x14ac:dyDescent="0.2">
      <c r="B122" s="1" t="s">
        <v>240</v>
      </c>
      <c r="D122" s="1">
        <f>D119/3</f>
        <v>8.68</v>
      </c>
      <c r="E122" s="1">
        <f>D122*7</f>
        <v>60.76</v>
      </c>
      <c r="G122" s="31">
        <f>'Price list REWE '!E119</f>
        <v>3.66</v>
      </c>
      <c r="H122" s="31">
        <f>G122/1000*D122</f>
        <v>3.17688E-2</v>
      </c>
      <c r="J122" s="42">
        <f>'Price list REWE '!H119</f>
        <v>14.9</v>
      </c>
      <c r="K122" s="42">
        <f>J122/1000*D122</f>
        <v>0.129332</v>
      </c>
      <c r="M122" s="31">
        <f>'Price list ALDI Süd'!E119</f>
        <v>3.96</v>
      </c>
      <c r="N122" s="31">
        <f>M122/1000*D122</f>
        <v>3.4372800000000002E-2</v>
      </c>
      <c r="P122" s="42">
        <f>'Price list ALDI Süd'!H119</f>
        <v>9.4499999999999993</v>
      </c>
      <c r="Q122" s="42">
        <f>P122/1000*D122</f>
        <v>8.2026000000000002E-2</v>
      </c>
    </row>
    <row r="123" spans="1:17" x14ac:dyDescent="0.2">
      <c r="A123" s="9">
        <v>3</v>
      </c>
      <c r="B123" s="15"/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1260</v>
      </c>
      <c r="E124" s="4">
        <f>D124*E10</f>
        <v>8820</v>
      </c>
    </row>
    <row r="125" spans="1:17" ht="17" x14ac:dyDescent="0.2">
      <c r="B125" s="1" t="s">
        <v>415</v>
      </c>
      <c r="D125" s="1">
        <f>D124-D126-D127</f>
        <v>860</v>
      </c>
      <c r="E125" s="1">
        <f>D125*7</f>
        <v>6020</v>
      </c>
      <c r="G125" s="31">
        <f>'Price list REWE '!E122</f>
        <v>0.18</v>
      </c>
      <c r="H125" s="31">
        <f>G125/1000*D125</f>
        <v>0.15479999999999999</v>
      </c>
      <c r="J125" s="42">
        <f>'Price list REWE '!H122</f>
        <v>0.18</v>
      </c>
      <c r="K125" s="42">
        <f>J125/1000*D125</f>
        <v>0.15479999999999999</v>
      </c>
      <c r="M125" s="31">
        <f>'Price list ALDI Süd'!E122</f>
        <v>0.18</v>
      </c>
      <c r="N125" s="31">
        <f>M125/1000*D125</f>
        <v>0.15479999999999999</v>
      </c>
      <c r="P125" s="42">
        <f>'Price list ALDI Süd'!H122</f>
        <v>0.18</v>
      </c>
      <c r="Q125" s="42">
        <f>P125/1000*D125</f>
        <v>0.15479999999999999</v>
      </c>
    </row>
    <row r="126" spans="1:17" ht="17" x14ac:dyDescent="0.2">
      <c r="B126" s="1" t="s">
        <v>416</v>
      </c>
      <c r="D126" s="1">
        <v>200</v>
      </c>
      <c r="E126" s="1">
        <f>D126*7</f>
        <v>1400</v>
      </c>
      <c r="G126" s="31">
        <f>'Price list REWE '!E123</f>
        <v>6.98</v>
      </c>
      <c r="H126" s="31">
        <f>G126/1000*12</f>
        <v>8.3760000000000001E-2</v>
      </c>
      <c r="J126" s="42">
        <f>'Price list REWE '!H123</f>
        <v>11.98</v>
      </c>
      <c r="K126" s="42">
        <f>J126/1000*12</f>
        <v>0.14376</v>
      </c>
      <c r="M126" s="31">
        <f>'Price list ALDI Süd'!E123</f>
        <v>7.98</v>
      </c>
      <c r="N126" s="31">
        <f>M126/1000*12</f>
        <v>9.5760000000000012E-2</v>
      </c>
      <c r="P126" s="42">
        <f>'Price list ALDI Süd'!H123</f>
        <v>11.38</v>
      </c>
      <c r="Q126" s="42">
        <f>P126/1000*12</f>
        <v>0.13656000000000001</v>
      </c>
    </row>
    <row r="127" spans="1:17" ht="17" x14ac:dyDescent="0.2">
      <c r="B127" s="1" t="s">
        <v>417</v>
      </c>
      <c r="D127" s="1">
        <v>200</v>
      </c>
      <c r="E127" s="1">
        <f>D127*7</f>
        <v>1400</v>
      </c>
      <c r="G127" s="31">
        <f>'Price list REWE '!E124</f>
        <v>12.27</v>
      </c>
      <c r="H127" s="31">
        <f>G127/1000*(56/25)</f>
        <v>2.74848E-2</v>
      </c>
      <c r="J127" s="42">
        <f>'Price list REWE '!H124</f>
        <v>67.25</v>
      </c>
      <c r="K127" s="42">
        <f>J127/1000*(40/20)</f>
        <v>0.13450000000000001</v>
      </c>
      <c r="M127" s="31">
        <f>'Price list ALDI Süd'!E124</f>
        <v>12.27</v>
      </c>
      <c r="N127" s="31">
        <f>M127/1000*(56.25/25)</f>
        <v>2.76075E-2</v>
      </c>
      <c r="P127" s="42">
        <f>'Price list ALDI Süd'!H124</f>
        <v>67.25</v>
      </c>
      <c r="Q127" s="42">
        <f>P127/1000*(40/20)</f>
        <v>0.13450000000000001</v>
      </c>
    </row>
    <row r="128" spans="1:17" ht="17" x14ac:dyDescent="0.2">
      <c r="B128" s="1" t="s">
        <v>439</v>
      </c>
      <c r="D128" s="1">
        <f>E128/7</f>
        <v>47.142857142857146</v>
      </c>
      <c r="E128" s="1">
        <v>330</v>
      </c>
      <c r="G128" s="31">
        <f>'Price list REWE '!E125</f>
        <v>0.9</v>
      </c>
      <c r="H128" s="31">
        <f>G128/1000*D128</f>
        <v>4.2428571428571434E-2</v>
      </c>
      <c r="J128" s="42">
        <f>'Price list REWE '!H125</f>
        <v>2</v>
      </c>
      <c r="K128" s="42">
        <f>J128/1000*D128</f>
        <v>9.4285714285714292E-2</v>
      </c>
      <c r="M128" s="31">
        <f>'Price list ALDI Süd'!E125</f>
        <v>0.9</v>
      </c>
      <c r="N128" s="31">
        <f>M128/1000*D128</f>
        <v>4.2428571428571434E-2</v>
      </c>
      <c r="P128" s="42">
        <f>'Price list ALDI Süd'!H125</f>
        <v>2</v>
      </c>
      <c r="Q128" s="42">
        <f>P128/1000*D128</f>
        <v>9.4285714285714292E-2</v>
      </c>
    </row>
    <row r="129" spans="1:19" ht="17" x14ac:dyDescent="0.2">
      <c r="B129" s="1" t="s">
        <v>440</v>
      </c>
      <c r="D129" s="1">
        <f>E129/7</f>
        <v>35.714285714285715</v>
      </c>
      <c r="E129" s="1">
        <v>250</v>
      </c>
      <c r="G129" s="31">
        <f>'Price list REWE '!E126</f>
        <v>2.65</v>
      </c>
      <c r="H129" s="31">
        <f>G129/1000*D129</f>
        <v>9.464285714285714E-2</v>
      </c>
      <c r="J129" s="42">
        <f>'Price list REWE '!H126</f>
        <v>5.32</v>
      </c>
      <c r="K129" s="42">
        <f>J129/1000*D129</f>
        <v>0.19</v>
      </c>
      <c r="M129" s="31">
        <f>'Price list ALDI Süd'!E126</f>
        <v>2.92</v>
      </c>
      <c r="N129" s="31">
        <f>M129/1000*D129</f>
        <v>0.10428571428571429</v>
      </c>
      <c r="P129" s="42">
        <f>'Price list ALDI Süd'!H126</f>
        <v>3.45</v>
      </c>
      <c r="Q129" s="42">
        <f>P129/1000*D129</f>
        <v>0.12321428571428573</v>
      </c>
    </row>
    <row r="130" spans="1:19" x14ac:dyDescent="0.2">
      <c r="A130" s="9">
        <v>5</v>
      </c>
    </row>
    <row r="132" spans="1:19" s="4" customFormat="1" ht="17" x14ac:dyDescent="0.2">
      <c r="A132" s="185" t="s">
        <v>431</v>
      </c>
      <c r="F132" s="12" t="s">
        <v>423</v>
      </c>
      <c r="G132" s="91"/>
      <c r="H132" s="185" t="s">
        <v>432</v>
      </c>
      <c r="I132" s="81"/>
      <c r="J132" s="81"/>
      <c r="K132" s="185" t="s">
        <v>432</v>
      </c>
      <c r="L132" s="220"/>
      <c r="M132" s="220"/>
      <c r="N132" s="185" t="s">
        <v>432</v>
      </c>
      <c r="O132" s="220"/>
      <c r="P132" s="220"/>
      <c r="Q132" s="185" t="s">
        <v>432</v>
      </c>
      <c r="R132" s="255"/>
      <c r="S132" s="92"/>
    </row>
    <row r="133" spans="1:19" ht="17" x14ac:dyDescent="0.2">
      <c r="A133" s="273">
        <f>A130+A123+A118+A115+A107+A102+A99+A95+A87+A82+A79+A76+A73+A70+A59+A47+A40+A20+A17+A32+A110</f>
        <v>75</v>
      </c>
      <c r="D133" s="9"/>
      <c r="E133" s="9"/>
      <c r="F133" s="1">
        <f>F119+F116+F111+F108+F104+F101+F96+F88+F83+F80+F77+F74+F71+F60+F48+F41+F33+F23+F18+F11</f>
        <v>2102.5199999999995</v>
      </c>
      <c r="H133" s="1" t="s">
        <v>433</v>
      </c>
      <c r="K133" s="1" t="s">
        <v>433</v>
      </c>
      <c r="N133" s="1" t="s">
        <v>433</v>
      </c>
      <c r="Q133" s="1" t="s">
        <v>433</v>
      </c>
    </row>
    <row r="134" spans="1:19" x14ac:dyDescent="0.2">
      <c r="H134" s="1">
        <f>SUM(H12:H129)</f>
        <v>4.2442365241534787</v>
      </c>
      <c r="K134" s="1">
        <f>SUM(K12:K129)</f>
        <v>6.9663792543224883</v>
      </c>
      <c r="N134" s="1">
        <f>SUM(N12:N133)</f>
        <v>4.1491679811526287</v>
      </c>
      <c r="Q134" s="1">
        <f>SUM(Q12:Q133)</f>
        <v>6.0707020372584566</v>
      </c>
    </row>
    <row r="135" spans="1:19" x14ac:dyDescent="0.2"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9" ht="17" x14ac:dyDescent="0.2">
      <c r="H136" s="9" t="s">
        <v>434</v>
      </c>
      <c r="I136" s="9"/>
      <c r="J136" s="9"/>
      <c r="K136" s="9" t="s">
        <v>434</v>
      </c>
      <c r="L136" s="9"/>
      <c r="M136" s="9"/>
      <c r="N136" s="9" t="s">
        <v>434</v>
      </c>
      <c r="O136" s="9"/>
      <c r="P136" s="9"/>
      <c r="Q136" s="9" t="s">
        <v>434</v>
      </c>
    </row>
    <row r="137" spans="1:19" x14ac:dyDescent="0.2">
      <c r="H137" s="9">
        <f>H134*30</f>
        <v>127.32709572460436</v>
      </c>
      <c r="I137" s="9"/>
      <c r="J137" s="9"/>
      <c r="K137" s="9">
        <f>K134*30</f>
        <v>208.99137762967464</v>
      </c>
      <c r="L137" s="9"/>
      <c r="M137" s="9"/>
      <c r="N137" s="9">
        <f>N134*30</f>
        <v>124.47503943457886</v>
      </c>
      <c r="O137" s="9"/>
      <c r="P137" s="9"/>
      <c r="Q137" s="9">
        <f>Q134*30</f>
        <v>182.1210611177537</v>
      </c>
    </row>
  </sheetData>
  <mergeCells count="9">
    <mergeCell ref="A1:Q1"/>
    <mergeCell ref="A2:Q2"/>
    <mergeCell ref="G5:K6"/>
    <mergeCell ref="M5:Q6"/>
    <mergeCell ref="G7:H8"/>
    <mergeCell ref="J7:K8"/>
    <mergeCell ref="M7:N8"/>
    <mergeCell ref="P7:Q8"/>
    <mergeCell ref="A4:B4"/>
  </mergeCells>
  <pageMargins left="0.7" right="0.7" top="0.78740157499999996" bottom="0.78740157499999996" header="0.3" footer="0.3"/>
  <pageSetup paperSize="9" scale="28"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B004-71C5-FB42-9C9E-561EEE299AAA}">
  <sheetPr codeName="Tabelle5">
    <tabColor rgb="FFE1CFF3"/>
    <pageSetUpPr fitToPage="1"/>
  </sheetPr>
  <dimension ref="A1:S137"/>
  <sheetViews>
    <sheetView zoomScale="75" zoomScaleNormal="80" workbookViewId="0">
      <pane ySplit="9" topLeftCell="A10" activePane="bottomLeft" state="frozen"/>
      <selection pane="bottomLeft" activeCell="I18" sqref="I18"/>
    </sheetView>
  </sheetViews>
  <sheetFormatPr baseColWidth="10" defaultColWidth="10.83203125" defaultRowHeight="16" x14ac:dyDescent="0.2"/>
  <cols>
    <col min="1" max="1" width="26.5" style="9" customWidth="1"/>
    <col min="2" max="2" width="30.33203125" style="1" customWidth="1"/>
    <col min="3" max="3" width="11.5" style="1" customWidth="1"/>
    <col min="4" max="4" width="19.33203125" style="1" customWidth="1"/>
    <col min="5" max="5" width="22.1640625" style="1" customWidth="1"/>
    <col min="6" max="6" width="15.1640625" style="1" customWidth="1"/>
    <col min="7" max="7" width="16" style="1" customWidth="1"/>
    <col min="8" max="8" width="17.33203125" style="1" customWidth="1"/>
    <col min="9" max="10" width="15.5" style="1" customWidth="1"/>
    <col min="11" max="11" width="17.6640625" style="1" customWidth="1"/>
    <col min="12" max="12" width="15.6640625" style="1" customWidth="1"/>
    <col min="13" max="13" width="15.33203125" style="1" customWidth="1"/>
    <col min="14" max="14" width="17.33203125" style="1" customWidth="1"/>
    <col min="15" max="15" width="10.83203125" style="1"/>
    <col min="16" max="16" width="13.5" style="1" customWidth="1"/>
    <col min="17" max="17" width="17.1640625" style="1" customWidth="1"/>
    <col min="18" max="16384" width="10.83203125" style="1"/>
  </cols>
  <sheetData>
    <row r="1" spans="1:17" ht="20" customHeight="1" x14ac:dyDescent="0.2">
      <c r="A1" s="420" t="s">
        <v>631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2"/>
    </row>
    <row r="2" spans="1:17" ht="21" customHeight="1" x14ac:dyDescent="0.2">
      <c r="A2" s="420" t="s">
        <v>441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  <c r="Q2" s="422"/>
    </row>
    <row r="3" spans="1:17" x14ac:dyDescent="0.2">
      <c r="A3" s="125"/>
      <c r="B3" s="126"/>
      <c r="C3" s="126"/>
      <c r="D3" s="126"/>
      <c r="E3" s="126"/>
      <c r="F3" s="13"/>
    </row>
    <row r="4" spans="1:17" x14ac:dyDescent="0.2">
      <c r="A4" s="430" t="s">
        <v>426</v>
      </c>
      <c r="B4" s="431"/>
      <c r="C4" s="9">
        <f>2700/2500</f>
        <v>1.08</v>
      </c>
      <c r="D4" s="114"/>
      <c r="E4" s="90"/>
      <c r="F4" s="13"/>
    </row>
    <row r="5" spans="1:17" x14ac:dyDescent="0.2">
      <c r="B5" s="9"/>
      <c r="C5" s="3"/>
      <c r="E5" s="9"/>
      <c r="F5" s="13"/>
      <c r="G5" s="424" t="s">
        <v>427</v>
      </c>
      <c r="H5" s="425"/>
      <c r="I5" s="425"/>
      <c r="J5" s="425"/>
      <c r="K5" s="426"/>
      <c r="M5" s="424" t="s">
        <v>428</v>
      </c>
      <c r="N5" s="425"/>
      <c r="O5" s="425"/>
      <c r="P5" s="425"/>
      <c r="Q5" s="426"/>
    </row>
    <row r="6" spans="1:17" x14ac:dyDescent="0.2">
      <c r="B6" s="9"/>
      <c r="C6" s="3"/>
      <c r="F6" s="13"/>
      <c r="G6" s="427"/>
      <c r="H6" s="428"/>
      <c r="I6" s="428"/>
      <c r="J6" s="428"/>
      <c r="K6" s="429"/>
      <c r="M6" s="427"/>
      <c r="N6" s="428"/>
      <c r="O6" s="428"/>
      <c r="P6" s="428"/>
      <c r="Q6" s="429"/>
    </row>
    <row r="7" spans="1:17" ht="16" customHeight="1" x14ac:dyDescent="0.2">
      <c r="B7" s="9"/>
      <c r="C7" s="3"/>
      <c r="G7" s="412" t="s">
        <v>15</v>
      </c>
      <c r="H7" s="413"/>
      <c r="I7" s="116"/>
      <c r="J7" s="416" t="s">
        <v>16</v>
      </c>
      <c r="K7" s="417"/>
      <c r="M7" s="412" t="s">
        <v>15</v>
      </c>
      <c r="N7" s="413"/>
      <c r="O7" s="116"/>
      <c r="P7" s="416" t="s">
        <v>16</v>
      </c>
      <c r="Q7" s="417"/>
    </row>
    <row r="8" spans="1:17" ht="16" customHeight="1" x14ac:dyDescent="0.2">
      <c r="G8" s="414"/>
      <c r="H8" s="415"/>
      <c r="J8" s="418"/>
      <c r="K8" s="419"/>
      <c r="M8" s="414"/>
      <c r="N8" s="415"/>
      <c r="P8" s="418"/>
      <c r="Q8" s="419"/>
    </row>
    <row r="9" spans="1:17" s="12" customFormat="1" ht="34" x14ac:dyDescent="0.2">
      <c r="A9" s="12" t="s">
        <v>17</v>
      </c>
      <c r="B9" s="12" t="s">
        <v>18</v>
      </c>
      <c r="C9" s="12" t="s">
        <v>386</v>
      </c>
      <c r="D9" s="12" t="s">
        <v>387</v>
      </c>
      <c r="E9" s="12" t="s">
        <v>388</v>
      </c>
      <c r="F9" s="12" t="s">
        <v>442</v>
      </c>
      <c r="G9" s="79" t="s">
        <v>21</v>
      </c>
      <c r="H9" s="79" t="s">
        <v>430</v>
      </c>
      <c r="I9" s="62"/>
      <c r="J9" s="80" t="s">
        <v>21</v>
      </c>
      <c r="K9" s="80" t="s">
        <v>430</v>
      </c>
      <c r="L9" s="62"/>
      <c r="M9" s="79" t="s">
        <v>21</v>
      </c>
      <c r="N9" s="79" t="s">
        <v>430</v>
      </c>
      <c r="O9" s="62"/>
      <c r="P9" s="80" t="s">
        <v>21</v>
      </c>
      <c r="Q9" s="80" t="s">
        <v>430</v>
      </c>
    </row>
    <row r="10" spans="1:17" s="9" customFormat="1" x14ac:dyDescent="0.2">
      <c r="E10" s="9">
        <v>7</v>
      </c>
    </row>
    <row r="11" spans="1:17" s="4" customFormat="1" ht="18" customHeight="1" x14ac:dyDescent="0.2">
      <c r="A11" s="12" t="s">
        <v>390</v>
      </c>
      <c r="B11" s="12" t="s">
        <v>23</v>
      </c>
      <c r="D11" s="4">
        <f>232*C4</f>
        <v>250.56</v>
      </c>
      <c r="E11" s="4">
        <f>D11*$E$10</f>
        <v>1753.92</v>
      </c>
      <c r="F11" s="4">
        <f>811*C4</f>
        <v>875.88000000000011</v>
      </c>
    </row>
    <row r="12" spans="1:17" ht="19" customHeight="1" x14ac:dyDescent="0.2">
      <c r="B12" s="1" t="s">
        <v>24</v>
      </c>
      <c r="D12" s="1">
        <f>30*C4</f>
        <v>32.400000000000006</v>
      </c>
      <c r="E12" s="1">
        <f t="shared" ref="E12:E16" si="0">D12*$E$10</f>
        <v>226.80000000000004</v>
      </c>
      <c r="G12" s="31">
        <f>'Price list REWE '!E9</f>
        <v>2.89</v>
      </c>
      <c r="H12" s="31">
        <f>G12/1000*D12</f>
        <v>9.3636000000000025E-2</v>
      </c>
      <c r="J12" s="42">
        <f>'Price list REWE '!H9</f>
        <v>2.89</v>
      </c>
      <c r="K12" s="42">
        <f>J12/1000*D12</f>
        <v>9.3636000000000025E-2</v>
      </c>
      <c r="M12" s="31">
        <f>'Price list ALDI Süd'!E9</f>
        <v>2.89</v>
      </c>
      <c r="N12" s="31">
        <f>M12/1000*D12</f>
        <v>9.3636000000000025E-2</v>
      </c>
      <c r="P12" s="42">
        <f>'Price list ALDI Süd'!H9</f>
        <v>2.89</v>
      </c>
      <c r="Q12" s="42">
        <f>P12/1000*D12</f>
        <v>9.3636000000000025E-2</v>
      </c>
    </row>
    <row r="13" spans="1:17" ht="17" x14ac:dyDescent="0.2">
      <c r="B13" s="1" t="s">
        <v>27</v>
      </c>
      <c r="D13" s="1">
        <f>50*C4</f>
        <v>54</v>
      </c>
      <c r="E13" s="1">
        <f t="shared" si="0"/>
        <v>378</v>
      </c>
      <c r="G13" s="31">
        <f>'Price list REWE '!E10</f>
        <v>1.58</v>
      </c>
      <c r="H13" s="31">
        <f>G13/1000*D13</f>
        <v>8.5320000000000007E-2</v>
      </c>
      <c r="J13" s="42">
        <f>'Price list REWE '!H10</f>
        <v>4.38</v>
      </c>
      <c r="K13" s="42">
        <f>J13/1000*D13</f>
        <v>0.23652000000000001</v>
      </c>
      <c r="M13" s="31">
        <f>'Price list ALDI Süd'!E10</f>
        <v>3.48</v>
      </c>
      <c r="N13" s="31">
        <f>M13/1000*D13</f>
        <v>0.18792</v>
      </c>
      <c r="P13" s="42">
        <f>'Price list ALDI Süd'!H10</f>
        <v>4.38</v>
      </c>
      <c r="Q13" s="42">
        <f>P13/1000*D13</f>
        <v>0.23652000000000001</v>
      </c>
    </row>
    <row r="14" spans="1:17" ht="17" x14ac:dyDescent="0.2">
      <c r="B14" s="1" t="s">
        <v>30</v>
      </c>
      <c r="D14" s="1">
        <f>50*C4</f>
        <v>54</v>
      </c>
      <c r="E14" s="1">
        <f t="shared" si="0"/>
        <v>378</v>
      </c>
      <c r="G14" s="31">
        <f>'Price list REWE '!E11</f>
        <v>2.13</v>
      </c>
      <c r="H14" s="31">
        <f>G14/1000*D14</f>
        <v>0.11502</v>
      </c>
      <c r="J14" s="42">
        <f>'Price list REWE '!H11</f>
        <v>4.25</v>
      </c>
      <c r="K14" s="42">
        <f>J14/1000*D14</f>
        <v>0.22950000000000001</v>
      </c>
      <c r="M14" s="31">
        <f>'Price list ALDI Süd'!E11</f>
        <v>2.84</v>
      </c>
      <c r="N14" s="31">
        <f>M14/1000*D14</f>
        <v>0.15335999999999997</v>
      </c>
      <c r="P14" s="42">
        <f>'Price list ALDI Süd'!H11</f>
        <v>5.25</v>
      </c>
      <c r="Q14" s="42">
        <f>P14/1000*D14</f>
        <v>0.28350000000000003</v>
      </c>
    </row>
    <row r="15" spans="1:17" ht="17" x14ac:dyDescent="0.2">
      <c r="B15" s="1" t="s">
        <v>33</v>
      </c>
      <c r="D15" s="1">
        <f>40*C4</f>
        <v>43.2</v>
      </c>
      <c r="E15" s="1">
        <f>D15*$E$10</f>
        <v>302.40000000000003</v>
      </c>
      <c r="G15" s="31">
        <f>'Price list REWE '!E12</f>
        <v>1.58</v>
      </c>
      <c r="H15" s="31">
        <f>G15/1000*D15</f>
        <v>6.8256000000000011E-2</v>
      </c>
      <c r="J15" s="42">
        <f>'Price list REWE '!H12</f>
        <v>1.98</v>
      </c>
      <c r="K15" s="42">
        <f>J15/1000*D15</f>
        <v>8.5536000000000001E-2</v>
      </c>
      <c r="M15" s="31">
        <f>'Price list ALDI Süd'!E12</f>
        <v>1.58</v>
      </c>
      <c r="N15" s="31">
        <f>M15/1000*D15</f>
        <v>6.8256000000000011E-2</v>
      </c>
      <c r="P15" s="42">
        <f>'Price list ALDI Süd'!H12</f>
        <v>1.9</v>
      </c>
      <c r="Q15" s="42">
        <f>P15/1000*D15</f>
        <v>8.208E-2</v>
      </c>
    </row>
    <row r="16" spans="1:17" ht="17" x14ac:dyDescent="0.2">
      <c r="B16" s="1" t="s">
        <v>36</v>
      </c>
      <c r="D16" s="1">
        <f>62*C4</f>
        <v>66.960000000000008</v>
      </c>
      <c r="E16" s="1">
        <f t="shared" si="0"/>
        <v>468.72</v>
      </c>
      <c r="G16" s="31">
        <f>'Price list REWE '!E13</f>
        <v>3.58</v>
      </c>
      <c r="H16" s="31">
        <f>G16/1000*D16</f>
        <v>0.23971680000000004</v>
      </c>
      <c r="J16" s="42">
        <f>'Price list REWE '!H13</f>
        <v>2.98</v>
      </c>
      <c r="K16" s="42">
        <f>J16/1000*D16</f>
        <v>0.19954080000000002</v>
      </c>
      <c r="M16" s="31">
        <f>'Price list ALDI Süd'!E13</f>
        <v>2.98</v>
      </c>
      <c r="N16" s="31">
        <f>M16/1000*D16</f>
        <v>0.19954080000000002</v>
      </c>
      <c r="P16" s="42">
        <f>'Price list ALDI Süd'!H13</f>
        <v>2.98</v>
      </c>
      <c r="Q16" s="42">
        <f>P16/1000*D16</f>
        <v>0.19954080000000002</v>
      </c>
    </row>
    <row r="17" spans="1:17" x14ac:dyDescent="0.2">
      <c r="A17" s="9">
        <v>5</v>
      </c>
      <c r="G17" s="31"/>
      <c r="H17" s="31"/>
      <c r="J17" s="42"/>
      <c r="K17" s="42"/>
      <c r="M17" s="31"/>
      <c r="N17" s="31"/>
      <c r="P17" s="42"/>
      <c r="Q17" s="42"/>
    </row>
    <row r="18" spans="1:17" s="4" customFormat="1" ht="17" customHeight="1" x14ac:dyDescent="0.2">
      <c r="A18" s="12" t="s">
        <v>39</v>
      </c>
      <c r="B18" s="12" t="s">
        <v>40</v>
      </c>
      <c r="D18" s="4">
        <f>50*C4</f>
        <v>54</v>
      </c>
      <c r="E18" s="4">
        <f>D18*$E$10</f>
        <v>378</v>
      </c>
      <c r="F18" s="4">
        <f>39*C4</f>
        <v>42.120000000000005</v>
      </c>
      <c r="G18" s="12"/>
    </row>
    <row r="19" spans="1:17" ht="17" x14ac:dyDescent="0.2">
      <c r="B19" s="1" t="s">
        <v>41</v>
      </c>
      <c r="D19" s="1">
        <f>50*C4</f>
        <v>54</v>
      </c>
      <c r="E19" s="1">
        <f>D19*E10</f>
        <v>378</v>
      </c>
      <c r="G19" s="31">
        <f>'Price list REWE '!$E$16</f>
        <v>0.92</v>
      </c>
      <c r="H19" s="31">
        <f>G19/1000*D19</f>
        <v>4.9680000000000002E-2</v>
      </c>
      <c r="J19" s="42">
        <f>'Price list REWE '!H16</f>
        <v>1.53</v>
      </c>
      <c r="K19" s="42">
        <f>J19/1000*D19</f>
        <v>8.2619999999999999E-2</v>
      </c>
      <c r="M19" s="31">
        <f>'Price list ALDI Süd'!E16</f>
        <v>0.96</v>
      </c>
      <c r="N19" s="31">
        <f>M19/1000*D19</f>
        <v>5.1839999999999997E-2</v>
      </c>
      <c r="P19" s="42">
        <f>'Price list ALDI Süd'!H16</f>
        <v>1.46</v>
      </c>
      <c r="Q19" s="42">
        <f>P19/1000*D19</f>
        <v>7.8839999999999993E-2</v>
      </c>
    </row>
    <row r="20" spans="1:17" x14ac:dyDescent="0.2">
      <c r="A20" s="9">
        <v>1</v>
      </c>
      <c r="G20" s="31"/>
      <c r="H20" s="31"/>
      <c r="J20" s="42"/>
      <c r="K20" s="42"/>
      <c r="M20" s="31"/>
      <c r="N20" s="31"/>
      <c r="P20" s="42"/>
      <c r="Q20" s="42"/>
    </row>
    <row r="21" spans="1:17" s="4" customFormat="1" ht="17" x14ac:dyDescent="0.2">
      <c r="A21" s="12" t="s">
        <v>391</v>
      </c>
      <c r="D21" s="4">
        <f>300*C4</f>
        <v>324</v>
      </c>
      <c r="E21" s="4">
        <f>D21*$E$10</f>
        <v>2268</v>
      </c>
    </row>
    <row r="22" spans="1:17" x14ac:dyDescent="0.2">
      <c r="A22" s="3"/>
      <c r="C22" s="5"/>
      <c r="G22" s="31"/>
      <c r="H22" s="31"/>
      <c r="J22" s="42"/>
      <c r="K22" s="42"/>
      <c r="M22" s="31"/>
      <c r="N22" s="31"/>
      <c r="P22" s="42"/>
      <c r="Q22" s="42"/>
    </row>
    <row r="23" spans="1:17" s="4" customFormat="1" ht="17" x14ac:dyDescent="0.2">
      <c r="A23" s="12"/>
      <c r="B23" s="12" t="s">
        <v>45</v>
      </c>
      <c r="D23" s="4">
        <f>100*C4</f>
        <v>108</v>
      </c>
      <c r="E23" s="4">
        <f>D23*7</f>
        <v>756</v>
      </c>
      <c r="F23" s="4">
        <f>23*C4</f>
        <v>24.840000000000003</v>
      </c>
      <c r="G23" s="12"/>
    </row>
    <row r="24" spans="1:17" ht="17" x14ac:dyDescent="0.2">
      <c r="B24" s="16" t="s">
        <v>392</v>
      </c>
      <c r="C24" s="340">
        <v>8.1854823894030371E-2</v>
      </c>
      <c r="D24" s="6">
        <f>C24*$D$23</f>
        <v>8.8403209805552798</v>
      </c>
      <c r="E24" s="1">
        <f>D24*7</f>
        <v>61.882246863886962</v>
      </c>
      <c r="G24" s="32">
        <f>'Price list REWE '!E21</f>
        <v>3.0944625407166124</v>
      </c>
      <c r="H24" s="31">
        <f t="shared" ref="H24:H31" si="1">G24/1000*D24</f>
        <v>2.7356042122239469E-2</v>
      </c>
      <c r="J24" s="42">
        <f>'Price list REWE '!H21</f>
        <v>3.0944625407166124</v>
      </c>
      <c r="K24" s="42">
        <f t="shared" ref="K24:K31" si="2">J24/1000*D24</f>
        <v>2.7356042122239469E-2</v>
      </c>
      <c r="M24" s="31">
        <f>'Price list ALDI Süd'!E21</f>
        <v>2.2475570032573291</v>
      </c>
      <c r="N24" s="31">
        <f t="shared" ref="N24:N31" si="3">M24/1000*D24</f>
        <v>1.986912533088972E-2</v>
      </c>
      <c r="P24" s="42">
        <f>'Price list ALDI Süd'!H21</f>
        <v>2.2475570032573291</v>
      </c>
      <c r="Q24" s="42">
        <f t="shared" ref="Q24:Q31" si="4">P24/1000*D24</f>
        <v>1.986912533088972E-2</v>
      </c>
    </row>
    <row r="25" spans="1:17" ht="17" x14ac:dyDescent="0.2">
      <c r="B25" s="16" t="s">
        <v>393</v>
      </c>
      <c r="C25" s="340">
        <v>4.183137662165242E-2</v>
      </c>
      <c r="D25" s="6">
        <f t="shared" ref="D25:D31" si="5">C25*$D$23</f>
        <v>4.5177886751384611</v>
      </c>
      <c r="E25" s="1">
        <f t="shared" ref="E25:E31" si="6">D25*7</f>
        <v>31.624520725969226</v>
      </c>
      <c r="G25" s="32">
        <f>'Price list REWE '!E22</f>
        <v>2.875</v>
      </c>
      <c r="H25" s="31">
        <f t="shared" si="1"/>
        <v>1.2988642441023076E-2</v>
      </c>
      <c r="J25" s="42">
        <f>'Price list REWE '!H22</f>
        <v>5.98</v>
      </c>
      <c r="K25" s="42">
        <f t="shared" si="2"/>
        <v>2.7016376277327999E-2</v>
      </c>
      <c r="M25" s="31">
        <f>'Price list ALDI Süd'!E22</f>
        <v>2.875</v>
      </c>
      <c r="N25" s="31">
        <f t="shared" si="3"/>
        <v>1.2988642441023076E-2</v>
      </c>
      <c r="P25" s="42">
        <f>'Price list ALDI Süd'!H22</f>
        <v>11.96</v>
      </c>
      <c r="Q25" s="42">
        <f t="shared" si="4"/>
        <v>5.4032752554655998E-2</v>
      </c>
    </row>
    <row r="26" spans="1:17" ht="17" x14ac:dyDescent="0.2">
      <c r="B26" s="16" t="s">
        <v>51</v>
      </c>
      <c r="C26" s="340">
        <v>5.5140886754685689E-2</v>
      </c>
      <c r="D26" s="6">
        <f t="shared" si="5"/>
        <v>5.9552157695060544</v>
      </c>
      <c r="E26" s="1">
        <f t="shared" si="6"/>
        <v>41.686510386542381</v>
      </c>
      <c r="G26" s="32">
        <f>'Price list REWE '!E23</f>
        <v>1.76</v>
      </c>
      <c r="H26" s="31">
        <f t="shared" si="1"/>
        <v>1.0481179754330655E-2</v>
      </c>
      <c r="J26" s="42">
        <f>'Price list REWE '!H23</f>
        <v>3.32</v>
      </c>
      <c r="K26" s="42">
        <f t="shared" si="2"/>
        <v>1.97713163547601E-2</v>
      </c>
      <c r="M26" s="31">
        <f>'Price list ALDI Süd'!E23</f>
        <v>1.99</v>
      </c>
      <c r="N26" s="31">
        <f t="shared" si="3"/>
        <v>1.1850879381317049E-2</v>
      </c>
      <c r="P26" s="42">
        <f>'Price list ALDI Süd'!H23</f>
        <v>3.32</v>
      </c>
      <c r="Q26" s="42">
        <f t="shared" si="4"/>
        <v>1.97713163547601E-2</v>
      </c>
    </row>
    <row r="27" spans="1:17" ht="17" x14ac:dyDescent="0.2">
      <c r="B27" s="16" t="s">
        <v>394</v>
      </c>
      <c r="C27" s="340">
        <v>7.8411761271535096E-2</v>
      </c>
      <c r="D27" s="6">
        <f t="shared" si="5"/>
        <v>8.4684702173257911</v>
      </c>
      <c r="E27" s="1">
        <f t="shared" si="6"/>
        <v>59.279291521280541</v>
      </c>
      <c r="G27" s="32">
        <f>'Price list REWE '!E24</f>
        <v>1.8349928876244666</v>
      </c>
      <c r="H27" s="31">
        <f t="shared" si="1"/>
        <v>1.5539582617852446E-2</v>
      </c>
      <c r="J27" s="42">
        <f>'Price list REWE '!H24</f>
        <v>3.8264580369843526</v>
      </c>
      <c r="K27" s="42">
        <f t="shared" si="2"/>
        <v>3.2404245924048898E-2</v>
      </c>
      <c r="M27" s="31">
        <f>'Price list ALDI Süd'!E24</f>
        <v>1.4082503556187767</v>
      </c>
      <c r="N27" s="31">
        <f t="shared" si="3"/>
        <v>1.1925726195096064E-2</v>
      </c>
      <c r="P27" s="42">
        <f>'Price list ALDI Süd'!H24</f>
        <v>3.8264580369843526</v>
      </c>
      <c r="Q27" s="42">
        <f t="shared" si="4"/>
        <v>3.2404245924048898E-2</v>
      </c>
    </row>
    <row r="28" spans="1:17" ht="17" x14ac:dyDescent="0.2">
      <c r="B28" s="16" t="s">
        <v>395</v>
      </c>
      <c r="C28" s="340">
        <v>0.10804527200358816</v>
      </c>
      <c r="D28" s="6">
        <f t="shared" si="5"/>
        <v>11.66888937638752</v>
      </c>
      <c r="E28" s="1">
        <f t="shared" si="6"/>
        <v>81.682225634712637</v>
      </c>
      <c r="G28" s="32">
        <f>'Price list REWE '!E25</f>
        <v>6.2402088772845961</v>
      </c>
      <c r="H28" s="31">
        <f t="shared" si="1"/>
        <v>7.2816307074585321E-2</v>
      </c>
      <c r="J28" s="42">
        <f>'Price list REWE '!H25</f>
        <v>6.5013054830287214</v>
      </c>
      <c r="K28" s="42">
        <f t="shared" si="2"/>
        <v>7.5863014483563779E-2</v>
      </c>
      <c r="M28" s="31">
        <f>'Price list ALDI Süd'!E25</f>
        <v>4.125</v>
      </c>
      <c r="N28" s="31">
        <f t="shared" si="3"/>
        <v>4.8134168677598524E-2</v>
      </c>
      <c r="P28" s="42">
        <f>'Price list ALDI Süd'!H25</f>
        <v>7.041666666666667</v>
      </c>
      <c r="Q28" s="42">
        <f t="shared" si="4"/>
        <v>8.2168429358728784E-2</v>
      </c>
    </row>
    <row r="29" spans="1:17" ht="17" x14ac:dyDescent="0.2">
      <c r="B29" s="10" t="s">
        <v>396</v>
      </c>
      <c r="C29" s="340">
        <v>0.24433687491347134</v>
      </c>
      <c r="D29" s="6">
        <f t="shared" si="5"/>
        <v>26.388382490654905</v>
      </c>
      <c r="E29" s="1">
        <f t="shared" si="6"/>
        <v>184.71867743458432</v>
      </c>
      <c r="G29" s="32">
        <f>'Price list REWE '!E26</f>
        <v>1.0745614035087721</v>
      </c>
      <c r="H29" s="31">
        <f t="shared" si="1"/>
        <v>2.8355937325484443E-2</v>
      </c>
      <c r="J29" s="42">
        <f>'Price list REWE '!H26</f>
        <v>3.2675438596491229</v>
      </c>
      <c r="K29" s="42">
        <f t="shared" si="2"/>
        <v>8.6225197173411872E-2</v>
      </c>
      <c r="M29" s="31">
        <f>'Price list ALDI Süd'!E26</f>
        <v>1.0745614035087721</v>
      </c>
      <c r="N29" s="31">
        <f t="shared" si="3"/>
        <v>2.8355937325484443E-2</v>
      </c>
      <c r="P29" s="42">
        <f>'Price list ALDI Süd'!H26</f>
        <v>1.2938596491228069</v>
      </c>
      <c r="Q29" s="42">
        <f t="shared" si="4"/>
        <v>3.4142863310277181E-2</v>
      </c>
    </row>
    <row r="30" spans="1:17" ht="17" x14ac:dyDescent="0.2">
      <c r="B30" s="16" t="s">
        <v>63</v>
      </c>
      <c r="C30" s="340">
        <v>0.19518950227051848</v>
      </c>
      <c r="D30" s="6">
        <f t="shared" si="5"/>
        <v>21.080466245215995</v>
      </c>
      <c r="E30" s="1">
        <f t="shared" si="6"/>
        <v>147.56326371651195</v>
      </c>
      <c r="G30" s="33">
        <f>'Price list REWE '!E27</f>
        <v>1.79</v>
      </c>
      <c r="H30" s="31">
        <f t="shared" si="1"/>
        <v>3.7734034578936634E-2</v>
      </c>
      <c r="J30" s="42">
        <f>'Price list REWE '!H27</f>
        <v>3.58</v>
      </c>
      <c r="K30" s="42">
        <f t="shared" si="2"/>
        <v>7.5468069157873269E-2</v>
      </c>
      <c r="M30" s="31">
        <f>'Price list ALDI Süd'!E27</f>
        <v>1.49</v>
      </c>
      <c r="N30" s="31">
        <f t="shared" si="3"/>
        <v>3.1409894705371831E-2</v>
      </c>
      <c r="P30" s="42">
        <f>'Price list ALDI Süd'!H27</f>
        <v>1.78</v>
      </c>
      <c r="Q30" s="42">
        <f t="shared" si="4"/>
        <v>3.752322991648447E-2</v>
      </c>
    </row>
    <row r="31" spans="1:17" ht="17" x14ac:dyDescent="0.2">
      <c r="B31" s="16" t="s">
        <v>66</v>
      </c>
      <c r="C31" s="340">
        <v>0.19518950227051848</v>
      </c>
      <c r="D31" s="6">
        <f t="shared" si="5"/>
        <v>21.080466245215995</v>
      </c>
      <c r="E31" s="1">
        <f t="shared" si="6"/>
        <v>147.56326371651195</v>
      </c>
      <c r="G31" s="33">
        <f>'Price list REWE '!E28</f>
        <v>1.99</v>
      </c>
      <c r="H31" s="31">
        <f t="shared" si="1"/>
        <v>4.1950127827979827E-2</v>
      </c>
      <c r="J31" s="42">
        <f>'Price list REWE '!H28</f>
        <v>5.3</v>
      </c>
      <c r="K31" s="42">
        <f t="shared" si="2"/>
        <v>0.11172647109964477</v>
      </c>
      <c r="M31" s="31">
        <f>'Price list ALDI Süd'!E28</f>
        <v>1.99</v>
      </c>
      <c r="N31" s="31">
        <f t="shared" si="3"/>
        <v>4.1950127827979827E-2</v>
      </c>
      <c r="P31" s="42">
        <f>'Price list ALDI Süd'!H28</f>
        <v>5.3</v>
      </c>
      <c r="Q31" s="42">
        <f t="shared" si="4"/>
        <v>0.11172647109964477</v>
      </c>
    </row>
    <row r="32" spans="1:17" x14ac:dyDescent="0.2">
      <c r="A32" s="9">
        <v>8</v>
      </c>
      <c r="B32" s="17"/>
      <c r="C32" s="340"/>
      <c r="G32" s="32"/>
      <c r="H32" s="31"/>
      <c r="J32" s="42"/>
      <c r="K32" s="42"/>
      <c r="M32" s="31"/>
      <c r="N32" s="31"/>
      <c r="P32" s="42"/>
      <c r="Q32" s="42"/>
    </row>
    <row r="33" spans="1:17" s="4" customFormat="1" ht="17" x14ac:dyDescent="0.2">
      <c r="A33" s="12"/>
      <c r="B33" s="12" t="s">
        <v>69</v>
      </c>
      <c r="C33" s="341"/>
      <c r="D33" s="4">
        <f>100*C4</f>
        <v>108</v>
      </c>
      <c r="F33" s="4">
        <f>30*C4</f>
        <v>32.400000000000006</v>
      </c>
      <c r="G33" s="12"/>
    </row>
    <row r="34" spans="1:17" ht="17" x14ac:dyDescent="0.2">
      <c r="B34" s="23" t="s">
        <v>70</v>
      </c>
      <c r="C34" s="340">
        <v>0.21012979994107583</v>
      </c>
      <c r="D34" s="6">
        <f>C34*D33</f>
        <v>22.694018393636192</v>
      </c>
      <c r="E34" s="1">
        <f t="shared" ref="E34:E39" si="7">D34*7</f>
        <v>158.85812875545335</v>
      </c>
      <c r="G34" s="32">
        <f>'Price list REWE '!E31</f>
        <v>1.75</v>
      </c>
      <c r="H34" s="31">
        <f t="shared" ref="H34:H39" si="8">G34/1000*D34</f>
        <v>3.9714532188863338E-2</v>
      </c>
      <c r="J34" s="42">
        <f>'Price list REWE '!H31</f>
        <v>2.79</v>
      </c>
      <c r="K34" s="42">
        <f t="shared" ref="K34:K39" si="9">J34/1000*D34</f>
        <v>6.3316311318244972E-2</v>
      </c>
      <c r="M34" s="31">
        <f>'Price list ALDI Süd'!E31</f>
        <v>1.5</v>
      </c>
      <c r="N34" s="31">
        <f t="shared" ref="N34:N39" si="10">M34/1000*D34</f>
        <v>3.4041027590454291E-2</v>
      </c>
      <c r="P34" s="42">
        <f>'Price list ALDI Süd'!H31</f>
        <v>2.19</v>
      </c>
      <c r="Q34" s="42">
        <f t="shared" ref="Q34:Q39" si="11">P34/1000*D34</f>
        <v>4.969990028206326E-2</v>
      </c>
    </row>
    <row r="35" spans="1:17" ht="17" x14ac:dyDescent="0.2">
      <c r="B35" s="10" t="s">
        <v>73</v>
      </c>
      <c r="C35" s="340">
        <v>0.19042830974833957</v>
      </c>
      <c r="D35" s="6">
        <f>C35*D33</f>
        <v>20.566257452820675</v>
      </c>
      <c r="E35" s="1">
        <f t="shared" si="7"/>
        <v>143.96380216974472</v>
      </c>
      <c r="G35" s="33">
        <f>'Price list REWE '!E32</f>
        <v>2.79</v>
      </c>
      <c r="H35" s="31">
        <f t="shared" si="8"/>
        <v>5.7379858293369682E-2</v>
      </c>
      <c r="J35" s="42">
        <f>'Price list REWE '!H32</f>
        <v>5.18</v>
      </c>
      <c r="K35" s="42">
        <f t="shared" si="9"/>
        <v>0.10653321360561109</v>
      </c>
      <c r="M35" s="31">
        <f>'Price list ALDI Süd'!E32</f>
        <v>1.79</v>
      </c>
      <c r="N35" s="31">
        <f t="shared" si="10"/>
        <v>3.6813600840549014E-2</v>
      </c>
      <c r="P35" s="42">
        <f>'Price list ALDI Süd'!H32</f>
        <v>4.58</v>
      </c>
      <c r="Q35" s="42">
        <f t="shared" si="11"/>
        <v>9.4193459133918689E-2</v>
      </c>
    </row>
    <row r="36" spans="1:17" ht="17" x14ac:dyDescent="0.2">
      <c r="B36" s="23" t="s">
        <v>76</v>
      </c>
      <c r="C36" s="340">
        <v>0.19042830974833957</v>
      </c>
      <c r="D36" s="6">
        <f>C36*$D$33</f>
        <v>20.566257452820675</v>
      </c>
      <c r="E36" s="1">
        <f t="shared" si="7"/>
        <v>143.96380216974472</v>
      </c>
      <c r="G36" s="33">
        <f>'Price list REWE '!E33</f>
        <v>1.7</v>
      </c>
      <c r="H36" s="31">
        <f t="shared" si="8"/>
        <v>3.4962637669795148E-2</v>
      </c>
      <c r="J36" s="42">
        <f>'Price list REWE '!H33</f>
        <v>2.27</v>
      </c>
      <c r="K36" s="42">
        <f t="shared" si="9"/>
        <v>4.6685404417902927E-2</v>
      </c>
      <c r="M36" s="31">
        <f>'Price list ALDI Süd'!E33</f>
        <v>1.7</v>
      </c>
      <c r="N36" s="31">
        <f t="shared" si="10"/>
        <v>3.4962637669795148E-2</v>
      </c>
      <c r="P36" s="42">
        <f>'Price list ALDI Süd'!H33</f>
        <v>1.98</v>
      </c>
      <c r="Q36" s="42">
        <f t="shared" si="11"/>
        <v>4.0721189756584938E-2</v>
      </c>
    </row>
    <row r="37" spans="1:17" ht="17" x14ac:dyDescent="0.2">
      <c r="B37" s="23" t="s">
        <v>79</v>
      </c>
      <c r="C37" s="340">
        <v>0.19042830974833957</v>
      </c>
      <c r="D37" s="6">
        <f t="shared" ref="D37:D39" si="12">C37*$D$33</f>
        <v>20.566257452820675</v>
      </c>
      <c r="E37" s="1">
        <f t="shared" si="7"/>
        <v>143.96380216974472</v>
      </c>
      <c r="G37" s="34">
        <f>'Price list REWE '!E34</f>
        <v>2.125</v>
      </c>
      <c r="H37" s="31">
        <f t="shared" si="8"/>
        <v>4.3703297087243936E-2</v>
      </c>
      <c r="J37" s="42">
        <f>'Price list REWE '!H34</f>
        <v>2.4750000000000001</v>
      </c>
      <c r="K37" s="42">
        <f t="shared" si="9"/>
        <v>5.0901487195731177E-2</v>
      </c>
      <c r="M37" s="31">
        <f>'Price list ALDI Süd'!E34</f>
        <v>2</v>
      </c>
      <c r="N37" s="31">
        <f t="shared" si="10"/>
        <v>4.1132514905641349E-2</v>
      </c>
      <c r="P37" s="42">
        <f>'Price list ALDI Süd'!H34</f>
        <v>2.4750000000000001</v>
      </c>
      <c r="Q37" s="42">
        <f t="shared" si="11"/>
        <v>5.0901487195731177E-2</v>
      </c>
    </row>
    <row r="38" spans="1:17" ht="17" x14ac:dyDescent="0.2">
      <c r="B38" s="16" t="s">
        <v>443</v>
      </c>
      <c r="C38" s="340">
        <v>0.10929263540695267</v>
      </c>
      <c r="D38" s="6">
        <f t="shared" si="12"/>
        <v>11.803604623950887</v>
      </c>
      <c r="E38" s="1">
        <f t="shared" si="7"/>
        <v>82.62523236765621</v>
      </c>
      <c r="G38" s="33">
        <f>'Price list REWE '!E35</f>
        <v>3.98</v>
      </c>
      <c r="H38" s="31">
        <f t="shared" si="8"/>
        <v>4.6978346403324531E-2</v>
      </c>
      <c r="J38" s="42">
        <f>'Price list REWE '!H35</f>
        <v>6.99</v>
      </c>
      <c r="K38" s="42">
        <f t="shared" si="9"/>
        <v>8.2507196321416704E-2</v>
      </c>
      <c r="M38" s="31">
        <f>'Price list ALDI Süd'!E35</f>
        <v>3.79</v>
      </c>
      <c r="N38" s="31">
        <f t="shared" si="10"/>
        <v>4.4735661524773866E-2</v>
      </c>
      <c r="P38" s="42">
        <f>'Price list ALDI Süd'!H35</f>
        <v>4.4800000000000004</v>
      </c>
      <c r="Q38" s="42">
        <f t="shared" si="11"/>
        <v>5.2880148715299981E-2</v>
      </c>
    </row>
    <row r="39" spans="1:17" ht="17" x14ac:dyDescent="0.2">
      <c r="B39" s="16" t="s">
        <v>397</v>
      </c>
      <c r="C39" s="340">
        <v>0.10929263540695267</v>
      </c>
      <c r="D39" s="6">
        <f t="shared" si="12"/>
        <v>11.803604623950887</v>
      </c>
      <c r="E39" s="1">
        <f t="shared" si="7"/>
        <v>82.62523236765621</v>
      </c>
      <c r="G39" s="76">
        <f>'Price list REWE '!E36</f>
        <v>2.9289940828402368</v>
      </c>
      <c r="H39" s="31">
        <f t="shared" si="8"/>
        <v>3.4572688099737806E-2</v>
      </c>
      <c r="J39" s="42">
        <f>'Price list REWE '!H36</f>
        <v>3.8165680473372783</v>
      </c>
      <c r="K39" s="42">
        <f t="shared" si="9"/>
        <v>4.5049260251173506E-2</v>
      </c>
      <c r="M39" s="31">
        <f>'Price list ALDI Süd'!E36</f>
        <v>2.3372781065088759</v>
      </c>
      <c r="N39" s="31">
        <f t="shared" si="10"/>
        <v>2.7588306665447343E-2</v>
      </c>
      <c r="P39" s="42">
        <f>'Price list ALDI Süd'!H36</f>
        <v>3.8165680473372783</v>
      </c>
      <c r="Q39" s="42">
        <f t="shared" si="11"/>
        <v>4.5049260251173506E-2</v>
      </c>
    </row>
    <row r="40" spans="1:17" x14ac:dyDescent="0.2">
      <c r="A40" s="9">
        <v>6</v>
      </c>
      <c r="C40" s="340"/>
      <c r="D40" s="6"/>
      <c r="G40" s="35"/>
      <c r="H40" s="31"/>
      <c r="J40" s="42"/>
      <c r="K40" s="42"/>
      <c r="M40" s="31"/>
      <c r="N40" s="31"/>
      <c r="P40" s="42"/>
      <c r="Q40" s="42"/>
    </row>
    <row r="41" spans="1:17" s="4" customFormat="1" ht="17" x14ac:dyDescent="0.2">
      <c r="A41" s="12"/>
      <c r="B41" s="25" t="s">
        <v>88</v>
      </c>
      <c r="C41" s="343"/>
      <c r="D41" s="29">
        <f>100*C4</f>
        <v>108</v>
      </c>
      <c r="E41" s="22"/>
      <c r="F41" s="4">
        <f>25*C4</f>
        <v>27</v>
      </c>
      <c r="G41" s="12"/>
    </row>
    <row r="42" spans="1:17" ht="17" x14ac:dyDescent="0.2">
      <c r="B42" s="16" t="s">
        <v>89</v>
      </c>
      <c r="C42" s="340">
        <v>0.24393305975418372</v>
      </c>
      <c r="D42" s="1">
        <f>C42*$D$41</f>
        <v>26.344770453451844</v>
      </c>
      <c r="E42" s="1">
        <f>D42*7</f>
        <v>184.41339317416291</v>
      </c>
      <c r="G42" s="32">
        <f>'Price list REWE '!E39</f>
        <v>1.49</v>
      </c>
      <c r="H42" s="31">
        <f>G42/1000*D42</f>
        <v>3.9253707975643246E-2</v>
      </c>
      <c r="J42" s="42">
        <f>'Price list REWE '!H39</f>
        <v>1.49</v>
      </c>
      <c r="K42" s="42">
        <f>J42/1000*D42</f>
        <v>3.9253707975643246E-2</v>
      </c>
      <c r="M42" s="31">
        <f>'Price list ALDI Süd'!E39</f>
        <v>1.49</v>
      </c>
      <c r="N42" s="31">
        <f>M42/1000*D42</f>
        <v>3.9253707975643246E-2</v>
      </c>
      <c r="P42" s="42">
        <f>'Price list ALDI Süd'!H39</f>
        <v>1.49</v>
      </c>
      <c r="Q42" s="42">
        <f>P42/1000*D42</f>
        <v>3.9253707975643246E-2</v>
      </c>
    </row>
    <row r="43" spans="1:17" ht="17" x14ac:dyDescent="0.2">
      <c r="B43" s="16" t="s">
        <v>91</v>
      </c>
      <c r="C43" s="340">
        <v>0.10630306243579046</v>
      </c>
      <c r="D43" s="1">
        <f t="shared" ref="D43:D46" si="13">C43*$D$41</f>
        <v>11.48073074306537</v>
      </c>
      <c r="E43" s="1">
        <f>D43*7</f>
        <v>80.365115201457598</v>
      </c>
      <c r="G43" s="78">
        <f>'Price list REWE '!E40</f>
        <v>1.99</v>
      </c>
      <c r="H43" s="31">
        <f>G43/1000*D43</f>
        <v>2.2846654178700087E-2</v>
      </c>
      <c r="J43" s="42">
        <f>'Price list REWE '!H40</f>
        <v>7.3</v>
      </c>
      <c r="K43" s="42">
        <f>J43/1000*D43</f>
        <v>8.3809334424377199E-2</v>
      </c>
      <c r="M43" s="31">
        <f>'Price list ALDI Süd'!E40</f>
        <v>1.99</v>
      </c>
      <c r="N43" s="31">
        <f>M43/1000*D43</f>
        <v>2.2846654178700087E-2</v>
      </c>
      <c r="P43" s="42">
        <f>'Price list ALDI Süd'!H40</f>
        <v>3.32</v>
      </c>
      <c r="Q43" s="42">
        <f>P43/1000*D43</f>
        <v>3.8116026066977032E-2</v>
      </c>
    </row>
    <row r="44" spans="1:17" ht="17" x14ac:dyDescent="0.2">
      <c r="B44" s="10" t="s">
        <v>94</v>
      </c>
      <c r="C44" s="87">
        <v>0.46774770023805184</v>
      </c>
      <c r="D44" s="1">
        <f t="shared" si="13"/>
        <v>50.516751625709603</v>
      </c>
      <c r="E44" s="1">
        <f>D44*7</f>
        <v>353.6172613799672</v>
      </c>
      <c r="G44" s="32">
        <f>'Price list REWE '!E41</f>
        <v>1.79</v>
      </c>
      <c r="H44" s="31">
        <f>G44/1000*D44</f>
        <v>9.0424985410020198E-2</v>
      </c>
      <c r="J44" s="42">
        <f>'Price list REWE '!H41</f>
        <v>3.05</v>
      </c>
      <c r="K44" s="42">
        <f>J44/1000*D44</f>
        <v>0.15407609245841428</v>
      </c>
      <c r="M44" s="31">
        <f>'Price list ALDI Süd'!E41</f>
        <v>1.99</v>
      </c>
      <c r="N44" s="31">
        <f>M44/1000*D44</f>
        <v>0.10052833573516211</v>
      </c>
      <c r="P44" s="42">
        <f>'Price list ALDI Süd'!H41</f>
        <v>1.99</v>
      </c>
      <c r="Q44" s="42">
        <f>P44/1000*D44</f>
        <v>0.10052833573516211</v>
      </c>
    </row>
    <row r="45" spans="1:17" ht="17" x14ac:dyDescent="0.2">
      <c r="B45" s="10" t="s">
        <v>398</v>
      </c>
      <c r="C45" s="87">
        <v>0.10260798307610458</v>
      </c>
      <c r="D45" s="1">
        <f t="shared" si="13"/>
        <v>11.081662172219295</v>
      </c>
      <c r="E45" s="1">
        <f>D45*7</f>
        <v>77.57163520553506</v>
      </c>
      <c r="G45" s="32">
        <f>'Price list REWE '!E42</f>
        <v>6.99</v>
      </c>
      <c r="H45" s="31">
        <f>G45/1000*D45</f>
        <v>7.7460818583812874E-2</v>
      </c>
      <c r="J45" s="42">
        <f>'Price list REWE '!H42</f>
        <v>9.9600000000000009</v>
      </c>
      <c r="K45" s="42">
        <f>J45/1000*D45</f>
        <v>0.11037335523530417</v>
      </c>
      <c r="M45" s="31">
        <f>'Price list ALDI Süd'!E42</f>
        <v>4.9800000000000004</v>
      </c>
      <c r="N45" s="31">
        <f>M45/1000*D45</f>
        <v>5.5186677617652086E-2</v>
      </c>
      <c r="P45" s="42">
        <f>'Price list ALDI Süd'!H42</f>
        <v>7.16</v>
      </c>
      <c r="Q45" s="42">
        <f>P45/1000*D45</f>
        <v>7.9344701153090155E-2</v>
      </c>
    </row>
    <row r="46" spans="1:17" ht="17" x14ac:dyDescent="0.2">
      <c r="B46" s="16" t="s">
        <v>100</v>
      </c>
      <c r="C46" s="87">
        <v>7.9408194495869444E-2</v>
      </c>
      <c r="D46" s="1">
        <f t="shared" si="13"/>
        <v>8.5760850055538995</v>
      </c>
      <c r="E46" s="1">
        <f>D46*7</f>
        <v>60.032595038877297</v>
      </c>
      <c r="G46" s="33">
        <f>'Price list REWE '!E43</f>
        <v>10</v>
      </c>
      <c r="H46" s="31">
        <f>G46/1000*D46</f>
        <v>8.5760850055539004E-2</v>
      </c>
      <c r="J46" s="42">
        <f>'Price list REWE '!H43</f>
        <v>10</v>
      </c>
      <c r="K46" s="42">
        <f>J46/1000*D46</f>
        <v>8.5760850055539004E-2</v>
      </c>
      <c r="M46" s="31">
        <f>'Price list ALDI Süd'!E43</f>
        <v>9.9</v>
      </c>
      <c r="N46" s="31">
        <f>M46/1000*D46</f>
        <v>8.4903241554983619E-2</v>
      </c>
      <c r="P46" s="42">
        <f>'Price list ALDI Süd'!H43</f>
        <v>9.9</v>
      </c>
      <c r="Q46" s="42">
        <f>P46/1000*D46</f>
        <v>8.4903241554983619E-2</v>
      </c>
    </row>
    <row r="47" spans="1:17" x14ac:dyDescent="0.2">
      <c r="A47" s="9">
        <v>5</v>
      </c>
      <c r="C47" s="87"/>
      <c r="G47" s="31"/>
      <c r="H47" s="31"/>
      <c r="J47" s="42"/>
      <c r="K47" s="42"/>
      <c r="M47" s="31"/>
      <c r="N47" s="31"/>
      <c r="P47" s="42"/>
      <c r="Q47" s="42"/>
    </row>
    <row r="48" spans="1:17" s="4" customFormat="1" ht="17" x14ac:dyDescent="0.2">
      <c r="A48" s="12" t="s">
        <v>399</v>
      </c>
      <c r="C48" s="88"/>
      <c r="D48" s="4">
        <f>200*C4</f>
        <v>216</v>
      </c>
      <c r="E48" s="4">
        <f>D48*$E$10</f>
        <v>1512</v>
      </c>
      <c r="F48" s="4">
        <f>126*C4</f>
        <v>136.08000000000001</v>
      </c>
    </row>
    <row r="49" spans="1:17" ht="17" x14ac:dyDescent="0.2">
      <c r="B49" s="11" t="s">
        <v>103</v>
      </c>
      <c r="C49" s="342">
        <v>0.44966025536520082</v>
      </c>
      <c r="D49" s="1">
        <f>C49*$D$48</f>
        <v>97.126615158883382</v>
      </c>
      <c r="E49" s="1">
        <f t="shared" ref="E49:E58" si="14">D49*$E$10</f>
        <v>679.88630611218366</v>
      </c>
      <c r="G49" s="36">
        <f>'Price list REWE '!E46</f>
        <v>1.19</v>
      </c>
      <c r="H49" s="31">
        <f t="shared" ref="H49:H58" si="15">G49/1000*D49</f>
        <v>0.11558067203907121</v>
      </c>
      <c r="J49" s="42">
        <f>'Price list REWE '!H46</f>
        <v>2.99</v>
      </c>
      <c r="K49" s="42">
        <f t="shared" ref="K49:K58" si="16">J49/1000*D49</f>
        <v>0.29040857932506131</v>
      </c>
      <c r="M49" s="31">
        <f>'Price list ALDI Süd'!E46</f>
        <v>0.94499999999999995</v>
      </c>
      <c r="N49" s="31">
        <f t="shared" ref="N49:N58" si="17">M49/1000*D49</f>
        <v>9.1784651325144795E-2</v>
      </c>
      <c r="P49" s="42">
        <f>'Price list ALDI Süd'!H46</f>
        <v>1.92</v>
      </c>
      <c r="Q49" s="42">
        <f t="shared" ref="Q49:Q58" si="18">P49/1000*D49</f>
        <v>0.18648310110505609</v>
      </c>
    </row>
    <row r="50" spans="1:17" ht="17" x14ac:dyDescent="0.2">
      <c r="B50" s="11" t="s">
        <v>106</v>
      </c>
      <c r="C50" s="342">
        <v>4.5787970295011769E-2</v>
      </c>
      <c r="D50" s="1">
        <f t="shared" ref="D50:D58" si="19">C50*$D$48</f>
        <v>9.8902015837225417</v>
      </c>
      <c r="E50" s="1">
        <f t="shared" si="14"/>
        <v>69.23141108605779</v>
      </c>
      <c r="G50" s="36">
        <f>'Price list REWE '!E47</f>
        <v>1.79</v>
      </c>
      <c r="H50" s="31">
        <f t="shared" si="15"/>
        <v>1.7703460834863349E-2</v>
      </c>
      <c r="J50" s="42">
        <f>'Price list REWE '!H47</f>
        <v>3.65</v>
      </c>
      <c r="K50" s="42">
        <f t="shared" si="16"/>
        <v>3.6099235780587276E-2</v>
      </c>
      <c r="M50" s="31">
        <f>'Price list ALDI Süd'!E47</f>
        <v>1.79</v>
      </c>
      <c r="N50" s="31">
        <f t="shared" si="17"/>
        <v>1.7703460834863349E-2</v>
      </c>
      <c r="P50" s="42">
        <f>'Price list ALDI Süd'!H47</f>
        <v>3.65</v>
      </c>
      <c r="Q50" s="42">
        <f t="shared" si="18"/>
        <v>3.6099235780587276E-2</v>
      </c>
    </row>
    <row r="51" spans="1:17" ht="17" x14ac:dyDescent="0.2">
      <c r="B51" s="11" t="s">
        <v>109</v>
      </c>
      <c r="C51" s="342">
        <v>2.019481503339627E-2</v>
      </c>
      <c r="D51" s="1">
        <f t="shared" si="19"/>
        <v>4.3620800472135945</v>
      </c>
      <c r="E51" s="1">
        <f t="shared" si="14"/>
        <v>30.534560330495161</v>
      </c>
      <c r="G51" s="36">
        <f>'Price list REWE '!E48</f>
        <v>4.99</v>
      </c>
      <c r="H51" s="31">
        <f t="shared" si="15"/>
        <v>2.1766779435595841E-2</v>
      </c>
      <c r="J51" s="42">
        <f>'Price list REWE '!H48</f>
        <v>4.99</v>
      </c>
      <c r="K51" s="42">
        <f t="shared" si="16"/>
        <v>2.1766779435595841E-2</v>
      </c>
      <c r="M51" s="31">
        <f>'Price list ALDI Süd'!E48</f>
        <v>3.98</v>
      </c>
      <c r="N51" s="31">
        <f t="shared" si="17"/>
        <v>1.7361078587910108E-2</v>
      </c>
      <c r="P51" s="42">
        <f>'Price list ALDI Süd'!H48</f>
        <v>3.98</v>
      </c>
      <c r="Q51" s="42">
        <f t="shared" si="18"/>
        <v>1.7361078587910108E-2</v>
      </c>
    </row>
    <row r="52" spans="1:17" ht="17" x14ac:dyDescent="0.2">
      <c r="B52" s="11" t="s">
        <v>111</v>
      </c>
      <c r="C52" s="342">
        <v>2.0560497203855613E-2</v>
      </c>
      <c r="D52" s="1">
        <f t="shared" si="19"/>
        <v>4.4410673960328122</v>
      </c>
      <c r="E52" s="1">
        <f t="shared" si="14"/>
        <v>31.087471772229684</v>
      </c>
      <c r="G52" s="36">
        <f>'Price list REWE '!E49</f>
        <v>7.98</v>
      </c>
      <c r="H52" s="31">
        <f t="shared" si="15"/>
        <v>3.5439717820341846E-2</v>
      </c>
      <c r="J52" s="42">
        <f>'Price list REWE '!H49</f>
        <v>10.63</v>
      </c>
      <c r="K52" s="42">
        <f t="shared" si="16"/>
        <v>4.7208546419828794E-2</v>
      </c>
      <c r="M52" s="31">
        <f>'Price list ALDI Süd'!E49</f>
        <v>7.98</v>
      </c>
      <c r="N52" s="31">
        <f t="shared" si="17"/>
        <v>3.5439717820341846E-2</v>
      </c>
      <c r="P52" s="42">
        <f>'Price list ALDI Süd'!H49</f>
        <v>9.9700000000000006</v>
      </c>
      <c r="Q52" s="42">
        <f t="shared" si="18"/>
        <v>4.4277441938447147E-2</v>
      </c>
    </row>
    <row r="53" spans="1:17" ht="17" x14ac:dyDescent="0.2">
      <c r="B53" s="11" t="s">
        <v>114</v>
      </c>
      <c r="C53" s="342">
        <v>1.772181875645604E-2</v>
      </c>
      <c r="D53" s="1">
        <f t="shared" si="19"/>
        <v>3.8279128513945047</v>
      </c>
      <c r="E53" s="1">
        <f t="shared" si="14"/>
        <v>26.795389959761533</v>
      </c>
      <c r="G53" s="36">
        <f>'Price list REWE '!E50</f>
        <v>5.98</v>
      </c>
      <c r="H53" s="31">
        <f t="shared" si="15"/>
        <v>2.2890918851339138E-2</v>
      </c>
      <c r="J53" s="42">
        <f>'Price list REWE '!H50</f>
        <v>10.63</v>
      </c>
      <c r="K53" s="42">
        <f t="shared" si="16"/>
        <v>4.0690713610323587E-2</v>
      </c>
      <c r="M53" s="31">
        <f>'Price list ALDI Süd'!E50</f>
        <v>5.98</v>
      </c>
      <c r="N53" s="31">
        <f t="shared" si="17"/>
        <v>2.2890918851339138E-2</v>
      </c>
      <c r="P53" s="42">
        <f>'Price list ALDI Süd'!H50</f>
        <v>9.9700000000000006</v>
      </c>
      <c r="Q53" s="42">
        <f t="shared" si="18"/>
        <v>3.8164291128403215E-2</v>
      </c>
    </row>
    <row r="54" spans="1:17" ht="17" x14ac:dyDescent="0.2">
      <c r="B54" s="11" t="s">
        <v>117</v>
      </c>
      <c r="C54" s="342">
        <v>7.018785236884495E-2</v>
      </c>
      <c r="D54" s="1">
        <f t="shared" si="19"/>
        <v>15.160576111670508</v>
      </c>
      <c r="E54" s="1">
        <f t="shared" si="14"/>
        <v>106.12403278169356</v>
      </c>
      <c r="G54" s="36">
        <f>'Price list REWE '!E51</f>
        <v>5.58</v>
      </c>
      <c r="H54" s="31">
        <f t="shared" si="15"/>
        <v>8.4596014703121433E-2</v>
      </c>
      <c r="J54" s="42">
        <f>'Price list REWE '!H51</f>
        <v>5.58</v>
      </c>
      <c r="K54" s="42">
        <f t="shared" si="16"/>
        <v>8.4596014703121433E-2</v>
      </c>
      <c r="M54" s="31">
        <f>'Price list ALDI Süd'!E51</f>
        <v>3.99</v>
      </c>
      <c r="N54" s="31">
        <f t="shared" si="17"/>
        <v>6.0490698685565336E-2</v>
      </c>
      <c r="P54" s="42">
        <f>'Price list ALDI Süd'!H51</f>
        <v>9.9700000000000006</v>
      </c>
      <c r="Q54" s="42">
        <f t="shared" si="18"/>
        <v>0.15115094383335498</v>
      </c>
    </row>
    <row r="55" spans="1:17" ht="17" x14ac:dyDescent="0.2">
      <c r="B55" s="11" t="s">
        <v>119</v>
      </c>
      <c r="C55" s="342">
        <v>9.5944736748873077E-2</v>
      </c>
      <c r="D55" s="1">
        <f t="shared" si="19"/>
        <v>20.724063137756584</v>
      </c>
      <c r="E55" s="1">
        <f t="shared" si="14"/>
        <v>145.06844196429608</v>
      </c>
      <c r="G55" s="36">
        <f>'Price list REWE '!E52</f>
        <v>3.58</v>
      </c>
      <c r="H55" s="31">
        <f t="shared" si="15"/>
        <v>7.4192146033168579E-2</v>
      </c>
      <c r="J55" s="42">
        <f>'Price list REWE '!H52</f>
        <v>3.58</v>
      </c>
      <c r="K55" s="42">
        <f t="shared" si="16"/>
        <v>7.4192146033168579E-2</v>
      </c>
      <c r="M55" s="31">
        <f>'Price list ALDI Süd'!E52</f>
        <v>3.38</v>
      </c>
      <c r="N55" s="31">
        <f t="shared" si="17"/>
        <v>7.0047333405617251E-2</v>
      </c>
      <c r="P55" s="42">
        <f>'Price list ALDI Süd'!H52</f>
        <v>3.38</v>
      </c>
      <c r="Q55" s="42">
        <f t="shared" si="18"/>
        <v>7.0047333405617251E-2</v>
      </c>
    </row>
    <row r="56" spans="1:17" ht="17" x14ac:dyDescent="0.2">
      <c r="B56" s="11" t="s">
        <v>121</v>
      </c>
      <c r="C56" s="342">
        <v>0.21388130862220195</v>
      </c>
      <c r="D56" s="1">
        <f t="shared" si="19"/>
        <v>46.198362662395624</v>
      </c>
      <c r="E56" s="1">
        <f t="shared" si="14"/>
        <v>323.38853863676934</v>
      </c>
      <c r="G56" s="36">
        <f>'Price list REWE '!E53</f>
        <v>1.29</v>
      </c>
      <c r="H56" s="31">
        <f t="shared" si="15"/>
        <v>5.9595887834490359E-2</v>
      </c>
      <c r="J56" s="42">
        <f>'Price list REWE '!H53</f>
        <v>1.99</v>
      </c>
      <c r="K56" s="42">
        <f t="shared" si="16"/>
        <v>9.1934741698167288E-2</v>
      </c>
      <c r="M56" s="31">
        <f>'Price list ALDI Süd'!E53</f>
        <v>1.29</v>
      </c>
      <c r="N56" s="31">
        <f t="shared" si="17"/>
        <v>5.9595887834490359E-2</v>
      </c>
      <c r="P56" s="42">
        <f>'Price list ALDI Süd'!H53</f>
        <v>1.99</v>
      </c>
      <c r="Q56" s="42">
        <f t="shared" si="18"/>
        <v>9.1934741698167288E-2</v>
      </c>
    </row>
    <row r="57" spans="1:17" ht="17" x14ac:dyDescent="0.2">
      <c r="B57" s="1" t="s">
        <v>124</v>
      </c>
      <c r="C57" s="87">
        <v>1.1705878785865603E-2</v>
      </c>
      <c r="D57" s="1">
        <f t="shared" si="19"/>
        <v>2.5284698177469704</v>
      </c>
      <c r="E57" s="1">
        <f t="shared" si="14"/>
        <v>17.699288724228794</v>
      </c>
      <c r="G57" s="78">
        <f>'Price list REWE '!E54</f>
        <v>5.98</v>
      </c>
      <c r="H57" s="31">
        <f t="shared" si="15"/>
        <v>1.5120249510126884E-2</v>
      </c>
      <c r="J57" s="42">
        <f>'Price list REWE '!H54</f>
        <v>5.98</v>
      </c>
      <c r="K57" s="42">
        <f t="shared" si="16"/>
        <v>1.5120249510126884E-2</v>
      </c>
      <c r="M57" s="31">
        <f>'Price list ALDI Süd'!E54</f>
        <v>3.98</v>
      </c>
      <c r="N57" s="31">
        <f t="shared" si="17"/>
        <v>1.0063309874632942E-2</v>
      </c>
      <c r="P57" s="42">
        <f>'Price list ALDI Süd'!H54</f>
        <v>3.98</v>
      </c>
      <c r="Q57" s="42">
        <f t="shared" si="18"/>
        <v>1.0063309874632942E-2</v>
      </c>
    </row>
    <row r="58" spans="1:17" ht="17" x14ac:dyDescent="0.2">
      <c r="B58" s="11" t="s">
        <v>126</v>
      </c>
      <c r="C58" s="87">
        <v>5.4354866820293855E-2</v>
      </c>
      <c r="D58" s="1">
        <f t="shared" si="19"/>
        <v>11.740651233183472</v>
      </c>
      <c r="E58" s="1">
        <f t="shared" si="14"/>
        <v>82.184558632284308</v>
      </c>
      <c r="G58" s="78">
        <f>'Price list REWE '!E55</f>
        <v>4.9800000000000004</v>
      </c>
      <c r="H58" s="31">
        <f t="shared" si="15"/>
        <v>5.8468443141253691E-2</v>
      </c>
      <c r="J58" s="42">
        <f>'Price list REWE '!H55</f>
        <v>4.9800000000000004</v>
      </c>
      <c r="K58" s="42">
        <f t="shared" si="16"/>
        <v>5.8468443141253691E-2</v>
      </c>
      <c r="M58" s="31">
        <f>'Price list ALDI Süd'!E55</f>
        <v>3.98</v>
      </c>
      <c r="N58" s="31">
        <f t="shared" si="17"/>
        <v>4.6727791908070221E-2</v>
      </c>
      <c r="P58" s="42">
        <f>'Price list ALDI Süd'!H55</f>
        <v>3.98</v>
      </c>
      <c r="Q58" s="42">
        <f t="shared" si="18"/>
        <v>4.6727791908070221E-2</v>
      </c>
    </row>
    <row r="59" spans="1:17" x14ac:dyDescent="0.2">
      <c r="A59" s="9">
        <v>10</v>
      </c>
      <c r="B59" s="11"/>
      <c r="G59" s="31"/>
      <c r="H59" s="31"/>
      <c r="J59" s="42"/>
      <c r="K59" s="42"/>
      <c r="M59" s="31"/>
      <c r="N59" s="31"/>
      <c r="P59" s="42"/>
      <c r="Q59" s="42"/>
    </row>
    <row r="60" spans="1:17" s="4" customFormat="1" ht="17" x14ac:dyDescent="0.2">
      <c r="A60" s="12" t="s">
        <v>400</v>
      </c>
      <c r="D60" s="4">
        <f>250*C4</f>
        <v>270</v>
      </c>
      <c r="E60" s="4">
        <f>D60*$E$10</f>
        <v>1890</v>
      </c>
      <c r="F60" s="4">
        <f>153*C4</f>
        <v>165.24</v>
      </c>
    </row>
    <row r="61" spans="1:17" ht="17" x14ac:dyDescent="0.2">
      <c r="B61" s="1" t="s">
        <v>129</v>
      </c>
      <c r="D61" s="1">
        <f>100*C4</f>
        <v>108</v>
      </c>
      <c r="E61" s="1">
        <f t="shared" ref="E61:E69" si="20">D61*$E$10</f>
        <v>756</v>
      </c>
      <c r="G61" s="31">
        <f>'Price list REWE '!E58</f>
        <v>1.05</v>
      </c>
      <c r="H61" s="31">
        <f t="shared" ref="H61:H69" si="21">G61/1000*D61</f>
        <v>0.11340000000000001</v>
      </c>
      <c r="J61" s="42">
        <f>'Price list REWE '!H58</f>
        <v>1.25</v>
      </c>
      <c r="K61" s="42">
        <f t="shared" ref="K61:K69" si="22">J61/1000*D61</f>
        <v>0.13500000000000001</v>
      </c>
      <c r="M61" s="31">
        <f>'Price list ALDI Süd'!E58</f>
        <v>1.05</v>
      </c>
      <c r="N61" s="31">
        <f t="shared" ref="N61:N69" si="23">M61/1000*D61</f>
        <v>0.11340000000000001</v>
      </c>
      <c r="P61" s="42">
        <f>'Price list ALDI Süd'!H58</f>
        <v>1.25</v>
      </c>
      <c r="Q61" s="42">
        <f t="shared" ref="Q61:Q69" si="24">P61/1000*D61</f>
        <v>0.13500000000000001</v>
      </c>
    </row>
    <row r="62" spans="1:17" ht="17" x14ac:dyDescent="0.2">
      <c r="B62" s="1" t="s">
        <v>132</v>
      </c>
      <c r="D62" s="1">
        <f>80*C4</f>
        <v>86.4</v>
      </c>
      <c r="E62" s="1">
        <f t="shared" si="20"/>
        <v>604.80000000000007</v>
      </c>
      <c r="G62" s="31">
        <f>'Price list REWE '!E59</f>
        <v>1.7</v>
      </c>
      <c r="H62" s="31">
        <f t="shared" si="21"/>
        <v>0.14688000000000001</v>
      </c>
      <c r="J62" s="42">
        <f>'Price list REWE '!H59</f>
        <v>2.38</v>
      </c>
      <c r="K62" s="42">
        <f t="shared" si="22"/>
        <v>0.20563199999999998</v>
      </c>
      <c r="M62" s="31">
        <f>'Price list ALDI Süd'!E59</f>
        <v>1.7</v>
      </c>
      <c r="N62" s="31">
        <f t="shared" si="23"/>
        <v>0.14688000000000001</v>
      </c>
      <c r="P62" s="42">
        <f>'Price list ALDI Süd'!H59</f>
        <v>2.38</v>
      </c>
      <c r="Q62" s="42">
        <f t="shared" si="24"/>
        <v>0.20563199999999998</v>
      </c>
    </row>
    <row r="63" spans="1:17" ht="17" x14ac:dyDescent="0.2">
      <c r="B63" s="1" t="s">
        <v>135</v>
      </c>
      <c r="D63" s="1">
        <f>10*C4</f>
        <v>10.8</v>
      </c>
      <c r="E63" s="1">
        <f t="shared" si="20"/>
        <v>75.600000000000009</v>
      </c>
      <c r="G63" s="31">
        <f>'Price list REWE '!E60</f>
        <v>4.63</v>
      </c>
      <c r="H63" s="31">
        <f t="shared" si="21"/>
        <v>5.0004E-2</v>
      </c>
      <c r="J63" s="42">
        <f>'Price list REWE '!H60</f>
        <v>7.37</v>
      </c>
      <c r="K63" s="42">
        <f t="shared" si="22"/>
        <v>7.9596E-2</v>
      </c>
      <c r="M63" s="31">
        <f>'Price list ALDI Süd'!E60</f>
        <v>4.63</v>
      </c>
      <c r="N63" s="31">
        <f t="shared" si="23"/>
        <v>5.0004E-2</v>
      </c>
      <c r="P63" s="42">
        <f>'Price list ALDI Süd'!H60</f>
        <v>7.37</v>
      </c>
      <c r="Q63" s="42">
        <f t="shared" si="24"/>
        <v>7.9596E-2</v>
      </c>
    </row>
    <row r="64" spans="1:17" ht="17" x14ac:dyDescent="0.2">
      <c r="B64" s="1" t="s">
        <v>138</v>
      </c>
      <c r="D64" s="1">
        <f>10*C4</f>
        <v>10.8</v>
      </c>
      <c r="E64" s="1">
        <f t="shared" si="20"/>
        <v>75.600000000000009</v>
      </c>
      <c r="G64" s="31">
        <f>'Price list REWE '!E61</f>
        <v>2.98</v>
      </c>
      <c r="H64" s="31">
        <f t="shared" si="21"/>
        <v>3.2184000000000004E-2</v>
      </c>
      <c r="J64" s="42">
        <f>'Price list REWE '!H61</f>
        <v>4.2</v>
      </c>
      <c r="K64" s="42">
        <f t="shared" si="22"/>
        <v>4.5360000000000011E-2</v>
      </c>
      <c r="M64" s="31">
        <f>'Price list ALDI Süd'!E61</f>
        <v>2.8</v>
      </c>
      <c r="N64" s="31">
        <f t="shared" si="23"/>
        <v>3.0240000000000003E-2</v>
      </c>
      <c r="P64" s="42">
        <f>'Price list ALDI Süd'!H61</f>
        <v>4.2</v>
      </c>
      <c r="Q64" s="42">
        <f t="shared" si="24"/>
        <v>4.5360000000000011E-2</v>
      </c>
    </row>
    <row r="65" spans="1:17" ht="18" customHeight="1" x14ac:dyDescent="0.2">
      <c r="B65" s="1" t="s">
        <v>141</v>
      </c>
      <c r="D65" s="1">
        <f>10*C4</f>
        <v>10.8</v>
      </c>
      <c r="E65" s="1">
        <f t="shared" si="20"/>
        <v>75.600000000000009</v>
      </c>
      <c r="G65" s="31">
        <f>'Price list REWE '!E62</f>
        <v>7.92</v>
      </c>
      <c r="H65" s="31">
        <f t="shared" si="21"/>
        <v>8.5536000000000001E-2</v>
      </c>
      <c r="J65" s="42">
        <f>'Price list REWE '!H62</f>
        <v>10.32</v>
      </c>
      <c r="K65" s="42">
        <f t="shared" si="22"/>
        <v>0.11145600000000001</v>
      </c>
      <c r="M65" s="31">
        <f>'Price list ALDI Süd'!E62</f>
        <v>7.92</v>
      </c>
      <c r="N65" s="31">
        <f t="shared" si="23"/>
        <v>8.5536000000000001E-2</v>
      </c>
      <c r="P65" s="42">
        <f>'Price list ALDI Süd'!H62</f>
        <v>10.32</v>
      </c>
      <c r="Q65" s="42">
        <f t="shared" si="24"/>
        <v>0.11145600000000001</v>
      </c>
    </row>
    <row r="66" spans="1:17" ht="17" x14ac:dyDescent="0.2">
      <c r="B66" s="1" t="s">
        <v>144</v>
      </c>
      <c r="D66" s="1">
        <f>10*C4</f>
        <v>10.8</v>
      </c>
      <c r="E66" s="1">
        <f t="shared" si="20"/>
        <v>75.600000000000009</v>
      </c>
      <c r="G66" s="31">
        <f>'Price list REWE '!E63</f>
        <v>3.45</v>
      </c>
      <c r="H66" s="31">
        <f t="shared" si="21"/>
        <v>3.7260000000000008E-2</v>
      </c>
      <c r="J66" s="42">
        <f>'Price list REWE '!H63</f>
        <v>4.45</v>
      </c>
      <c r="K66" s="42">
        <f t="shared" si="22"/>
        <v>4.8060000000000005E-2</v>
      </c>
      <c r="M66" s="31">
        <f>'Price list ALDI Süd'!E63</f>
        <v>3.45</v>
      </c>
      <c r="N66" s="31">
        <f t="shared" si="23"/>
        <v>3.7260000000000008E-2</v>
      </c>
      <c r="P66" s="42">
        <f>'Price list ALDI Süd'!H63</f>
        <v>4.25</v>
      </c>
      <c r="Q66" s="42">
        <f t="shared" si="24"/>
        <v>4.5900000000000003E-2</v>
      </c>
    </row>
    <row r="67" spans="1:17" ht="34" x14ac:dyDescent="0.2">
      <c r="B67" s="1" t="s">
        <v>401</v>
      </c>
      <c r="D67" s="1">
        <f>10*C4</f>
        <v>10.8</v>
      </c>
      <c r="E67" s="1">
        <f t="shared" si="20"/>
        <v>75.600000000000009</v>
      </c>
      <c r="G67" s="31">
        <f>'Price list REWE '!E64</f>
        <v>7.48</v>
      </c>
      <c r="H67" s="31">
        <f t="shared" si="21"/>
        <v>8.0784000000000009E-2</v>
      </c>
      <c r="J67" s="42">
        <f>'Price list REWE '!H64</f>
        <v>12.6</v>
      </c>
      <c r="K67" s="42">
        <f t="shared" si="22"/>
        <v>0.13608000000000001</v>
      </c>
      <c r="M67" s="31">
        <f>'Price list ALDI Süd'!E64</f>
        <v>9.9600000000000009</v>
      </c>
      <c r="N67" s="31">
        <f t="shared" si="23"/>
        <v>0.10756800000000001</v>
      </c>
      <c r="P67" s="42">
        <f>'Price list ALDI Süd'!H64</f>
        <v>10.95</v>
      </c>
      <c r="Q67" s="42">
        <f t="shared" si="24"/>
        <v>0.11826</v>
      </c>
    </row>
    <row r="68" spans="1:17" ht="34" x14ac:dyDescent="0.2">
      <c r="B68" s="1" t="s">
        <v>402</v>
      </c>
      <c r="D68" s="1">
        <f>10*C4</f>
        <v>10.8</v>
      </c>
      <c r="E68" s="1">
        <f t="shared" si="20"/>
        <v>75.600000000000009</v>
      </c>
      <c r="G68" s="31">
        <f>'Price list REWE '!E65</f>
        <v>11.56</v>
      </c>
      <c r="H68" s="31">
        <f t="shared" si="21"/>
        <v>0.12484800000000001</v>
      </c>
      <c r="J68" s="42">
        <f>'Price list REWE '!H65</f>
        <v>14.6</v>
      </c>
      <c r="K68" s="42">
        <f t="shared" si="22"/>
        <v>0.15768000000000001</v>
      </c>
      <c r="M68" s="31">
        <f>'Price list ALDI Süd'!E65</f>
        <v>11.56</v>
      </c>
      <c r="N68" s="31">
        <f t="shared" si="23"/>
        <v>0.12484800000000001</v>
      </c>
      <c r="P68" s="42">
        <f>'Price list ALDI Süd'!H65</f>
        <v>14.6</v>
      </c>
      <c r="Q68" s="42">
        <f t="shared" si="24"/>
        <v>0.15768000000000001</v>
      </c>
    </row>
    <row r="69" spans="1:17" ht="17" x14ac:dyDescent="0.2">
      <c r="B69" s="1" t="s">
        <v>403</v>
      </c>
      <c r="D69" s="1">
        <f>10*C4</f>
        <v>10.8</v>
      </c>
      <c r="E69" s="1">
        <f t="shared" si="20"/>
        <v>75.600000000000009</v>
      </c>
      <c r="G69" s="31">
        <f>'Price list REWE '!E66</f>
        <v>9.9499999999999993</v>
      </c>
      <c r="H69" s="31">
        <f t="shared" si="21"/>
        <v>0.10746</v>
      </c>
      <c r="J69" s="42">
        <f>'Price list REWE '!H66</f>
        <v>13.27</v>
      </c>
      <c r="K69" s="42">
        <f t="shared" si="22"/>
        <v>0.143316</v>
      </c>
      <c r="M69" s="31">
        <f>'Price list ALDI Süd'!E66</f>
        <v>9.9499999999999993</v>
      </c>
      <c r="N69" s="31">
        <f t="shared" si="23"/>
        <v>0.10746</v>
      </c>
      <c r="P69" s="42">
        <f>'Price list ALDI Süd'!H66</f>
        <v>13.28</v>
      </c>
      <c r="Q69" s="42">
        <f t="shared" si="24"/>
        <v>0.14342400000000002</v>
      </c>
    </row>
    <row r="70" spans="1:17" x14ac:dyDescent="0.2">
      <c r="A70" s="9">
        <v>9</v>
      </c>
      <c r="G70" s="31"/>
      <c r="H70" s="31"/>
      <c r="J70" s="42"/>
      <c r="K70" s="42"/>
      <c r="M70" s="31"/>
      <c r="N70" s="31"/>
      <c r="P70" s="42"/>
      <c r="Q70" s="42"/>
    </row>
    <row r="71" spans="1:17" s="4" customFormat="1" ht="17" x14ac:dyDescent="0.2">
      <c r="A71" s="12" t="s">
        <v>156</v>
      </c>
      <c r="B71" s="12" t="s">
        <v>157</v>
      </c>
      <c r="D71" s="4">
        <f>7*C4</f>
        <v>7.5600000000000005</v>
      </c>
      <c r="E71" s="4">
        <f>D71*E10</f>
        <v>52.92</v>
      </c>
      <c r="F71" s="4">
        <f>15*C4</f>
        <v>16.200000000000003</v>
      </c>
    </row>
    <row r="72" spans="1:17" ht="17" x14ac:dyDescent="0.2">
      <c r="B72" s="1" t="s">
        <v>158</v>
      </c>
      <c r="D72" s="1">
        <f>7*C4</f>
        <v>7.5600000000000005</v>
      </c>
      <c r="E72" s="1">
        <f>D72*7</f>
        <v>52.92</v>
      </c>
      <c r="G72" s="31">
        <f>'Price list REWE '!E69</f>
        <v>13.96</v>
      </c>
      <c r="H72" s="31">
        <f>G72/1000*D72</f>
        <v>0.10553760000000001</v>
      </c>
      <c r="J72" s="42">
        <f>'Price list REWE '!H69</f>
        <v>15.9</v>
      </c>
      <c r="K72" s="42">
        <f>J72/1000*D72</f>
        <v>0.12020400000000002</v>
      </c>
      <c r="M72" s="31">
        <f>'Price list ALDI Süd'!E69</f>
        <v>9.7799999999999994</v>
      </c>
      <c r="N72" s="31">
        <f>M72/1000*D72</f>
        <v>7.3936799999999997E-2</v>
      </c>
      <c r="P72" s="42">
        <f>'Price list ALDI Süd'!H69</f>
        <v>11.98</v>
      </c>
      <c r="Q72" s="42">
        <f>P72/1000*D72</f>
        <v>9.0568800000000019E-2</v>
      </c>
    </row>
    <row r="73" spans="1:17" x14ac:dyDescent="0.2">
      <c r="A73" s="9">
        <v>1</v>
      </c>
      <c r="G73" s="31"/>
      <c r="H73" s="31"/>
      <c r="J73" s="42"/>
      <c r="K73" s="42"/>
      <c r="M73" s="31"/>
      <c r="N73" s="31"/>
      <c r="P73" s="42"/>
      <c r="Q73" s="42"/>
    </row>
    <row r="74" spans="1:17" s="4" customFormat="1" ht="17" x14ac:dyDescent="0.2">
      <c r="A74" s="12"/>
      <c r="B74" s="12" t="s">
        <v>161</v>
      </c>
      <c r="D74" s="4">
        <f>7*C4</f>
        <v>7.5600000000000005</v>
      </c>
      <c r="E74" s="4">
        <f>D74*E10</f>
        <v>52.92</v>
      </c>
      <c r="F74" s="4">
        <f>15*C4</f>
        <v>16.200000000000003</v>
      </c>
    </row>
    <row r="75" spans="1:17" ht="17" x14ac:dyDescent="0.2">
      <c r="B75" s="1" t="s">
        <v>162</v>
      </c>
      <c r="D75" s="1">
        <f>7*C4</f>
        <v>7.5600000000000005</v>
      </c>
      <c r="E75" s="1">
        <f>D75*7</f>
        <v>52.92</v>
      </c>
      <c r="G75" s="31">
        <f>'Price list REWE '!E72</f>
        <v>8.98</v>
      </c>
      <c r="H75" s="31">
        <f>G75/1000*D75</f>
        <v>6.7888799999999999E-2</v>
      </c>
      <c r="J75" s="42">
        <f>'Price list REWE '!H72</f>
        <v>29.9</v>
      </c>
      <c r="K75" s="42">
        <f>J75/1000*D75</f>
        <v>0.22604400000000002</v>
      </c>
      <c r="M75" s="31">
        <f>'Price list ALDI Süd'!E72</f>
        <v>8.98</v>
      </c>
      <c r="N75" s="31">
        <f>M75/1000*D75</f>
        <v>6.7888799999999999E-2</v>
      </c>
      <c r="P75" s="42">
        <f>'Price list ALDI Süd'!H72</f>
        <v>17.96</v>
      </c>
      <c r="Q75" s="42">
        <f>P75/1000*D75</f>
        <v>0.1357776</v>
      </c>
    </row>
    <row r="76" spans="1:17" x14ac:dyDescent="0.2">
      <c r="A76" s="9">
        <v>1</v>
      </c>
      <c r="G76" s="31"/>
      <c r="H76" s="31"/>
      <c r="J76" s="42"/>
      <c r="K76" s="42"/>
      <c r="M76" s="31"/>
      <c r="N76" s="31"/>
      <c r="P76" s="42"/>
      <c r="Q76" s="42"/>
    </row>
    <row r="77" spans="1:17" s="4" customFormat="1" ht="17" x14ac:dyDescent="0.2">
      <c r="A77" s="12"/>
      <c r="B77" s="12" t="s">
        <v>165</v>
      </c>
      <c r="D77" s="4">
        <f>29*C4</f>
        <v>31.32</v>
      </c>
      <c r="E77" s="4">
        <f>D77*E10</f>
        <v>219.24</v>
      </c>
      <c r="F77" s="4">
        <f>62*C4</f>
        <v>66.960000000000008</v>
      </c>
    </row>
    <row r="78" spans="1:17" ht="17" x14ac:dyDescent="0.2">
      <c r="B78" s="1" t="s">
        <v>166</v>
      </c>
      <c r="D78" s="1">
        <f>29*C4</f>
        <v>31.32</v>
      </c>
      <c r="E78" s="1">
        <f>D78*7</f>
        <v>219.24</v>
      </c>
      <c r="G78" s="31">
        <f>'Price list REWE '!E75</f>
        <v>9.98</v>
      </c>
      <c r="H78" s="31">
        <f>G78/1000*D78</f>
        <v>0.31257360000000006</v>
      </c>
      <c r="J78" s="42">
        <f>'Price list REWE '!H75</f>
        <v>34.9</v>
      </c>
      <c r="K78" s="42">
        <f>J78/1000*D78</f>
        <v>1.0930679999999999</v>
      </c>
      <c r="M78" s="31">
        <f>'Price list ALDI Süd'!E75</f>
        <v>9.98</v>
      </c>
      <c r="N78" s="31">
        <f>M78/1000*D78</f>
        <v>0.31257360000000006</v>
      </c>
      <c r="P78" s="42">
        <f>'Price list ALDI Süd'!H75</f>
        <v>24.99</v>
      </c>
      <c r="Q78" s="42">
        <f>P78/1000*D78</f>
        <v>0.7826867999999999</v>
      </c>
    </row>
    <row r="79" spans="1:17" x14ac:dyDescent="0.2">
      <c r="A79" s="9">
        <v>1</v>
      </c>
      <c r="G79" s="31"/>
      <c r="H79" s="31"/>
      <c r="J79" s="42"/>
      <c r="K79" s="42"/>
      <c r="M79" s="31"/>
      <c r="N79" s="31"/>
      <c r="P79" s="42"/>
      <c r="Q79" s="42"/>
    </row>
    <row r="80" spans="1:17" s="4" customFormat="1" ht="17" x14ac:dyDescent="0.2">
      <c r="A80" s="12"/>
      <c r="B80" s="12" t="s">
        <v>169</v>
      </c>
      <c r="D80" s="4">
        <f>13*C4</f>
        <v>14.040000000000001</v>
      </c>
      <c r="E80" s="4">
        <f>D80*E10</f>
        <v>98.28</v>
      </c>
      <c r="F80" s="4">
        <f>19*C4</f>
        <v>20.520000000000003</v>
      </c>
    </row>
    <row r="81" spans="1:17" ht="17" x14ac:dyDescent="0.2">
      <c r="B81" s="1" t="s">
        <v>170</v>
      </c>
      <c r="D81" s="1">
        <f>13*C4</f>
        <v>14.040000000000001</v>
      </c>
      <c r="E81" s="1">
        <f>D81*7</f>
        <v>98.28</v>
      </c>
      <c r="G81" s="31">
        <f>'Price list REWE '!E78</f>
        <v>3.98</v>
      </c>
      <c r="H81" s="31">
        <f>G81/1000*D81</f>
        <v>5.5879200000000004E-2</v>
      </c>
      <c r="J81" s="42">
        <f>'Price list REWE '!H78</f>
        <v>7.9666666666666677</v>
      </c>
      <c r="K81" s="42">
        <f>J81/1000*D81</f>
        <v>0.11185200000000001</v>
      </c>
      <c r="M81" s="31">
        <f>'Price list ALDI Süd'!E78</f>
        <v>3.98</v>
      </c>
      <c r="N81" s="31">
        <f>M81/1000*D81</f>
        <v>5.5879200000000004E-2</v>
      </c>
      <c r="P81" s="42">
        <f>'Price list ALDI Süd'!H78</f>
        <v>6.38</v>
      </c>
      <c r="Q81" s="42">
        <f>P81/1000*D81</f>
        <v>8.9575200000000008E-2</v>
      </c>
    </row>
    <row r="82" spans="1:17" x14ac:dyDescent="0.2">
      <c r="A82" s="9">
        <v>1</v>
      </c>
      <c r="G82" s="31"/>
      <c r="H82" s="31"/>
      <c r="J82" s="42"/>
      <c r="K82" s="42"/>
      <c r="M82" s="31"/>
      <c r="N82" s="31"/>
      <c r="P82" s="42"/>
      <c r="Q82" s="42"/>
    </row>
    <row r="83" spans="1:17" s="4" customFormat="1" ht="17" x14ac:dyDescent="0.2">
      <c r="A83" s="12"/>
      <c r="B83" s="12" t="s">
        <v>409</v>
      </c>
      <c r="D83" s="4">
        <f>28*C4</f>
        <v>30.240000000000002</v>
      </c>
      <c r="E83" s="4">
        <f>D83*E10</f>
        <v>211.68</v>
      </c>
      <c r="F83" s="4">
        <f>40*C4</f>
        <v>43.2</v>
      </c>
    </row>
    <row r="84" spans="1:17" ht="17" x14ac:dyDescent="0.2">
      <c r="B84" s="1" t="s">
        <v>174</v>
      </c>
      <c r="D84" s="1">
        <f>D83/3</f>
        <v>10.08</v>
      </c>
      <c r="E84" s="1">
        <f>D84*7</f>
        <v>70.56</v>
      </c>
      <c r="G84" s="31">
        <f>'Price list REWE '!E81</f>
        <v>23.96</v>
      </c>
      <c r="H84" s="31">
        <f>G84/1000*D84</f>
        <v>0.24151680000000003</v>
      </c>
      <c r="J84" s="42">
        <f>'Price list REWE '!H81</f>
        <v>31.96</v>
      </c>
      <c r="K84" s="42">
        <f>J84/1000*D84</f>
        <v>0.32215680000000002</v>
      </c>
      <c r="M84" s="31">
        <f>'Price list ALDI Süd'!E81</f>
        <v>23.96</v>
      </c>
      <c r="N84" s="31">
        <f>M84/1000*D84</f>
        <v>0.24151680000000003</v>
      </c>
      <c r="P84" s="42">
        <f>'Price list ALDI Süd'!H81</f>
        <v>31.96</v>
      </c>
      <c r="Q84" s="42">
        <f>P84/1000*D84</f>
        <v>0.32215680000000002</v>
      </c>
    </row>
    <row r="85" spans="1:17" ht="17" x14ac:dyDescent="0.2">
      <c r="B85" s="1" t="s">
        <v>177</v>
      </c>
      <c r="D85" s="1">
        <f>D83/3</f>
        <v>10.08</v>
      </c>
      <c r="E85" s="1">
        <f>D85*7</f>
        <v>70.56</v>
      </c>
      <c r="G85" s="31">
        <f>'Price list REWE '!E82</f>
        <v>7.49</v>
      </c>
      <c r="H85" s="31">
        <f>G85/1000*D85</f>
        <v>7.5499200000000002E-2</v>
      </c>
      <c r="J85" s="42">
        <f>'Price list REWE '!H82</f>
        <v>7.49</v>
      </c>
      <c r="K85" s="42">
        <f>J85/1000*D85</f>
        <v>7.5499200000000002E-2</v>
      </c>
      <c r="M85" s="31">
        <f>'Price list ALDI Süd'!E82</f>
        <v>7.49</v>
      </c>
      <c r="N85" s="31">
        <f>M85/1000*D85</f>
        <v>7.5499200000000002E-2</v>
      </c>
      <c r="P85" s="42">
        <f>'Price list ALDI Süd'!H82</f>
        <v>7.49</v>
      </c>
      <c r="Q85" s="42">
        <f>P85/1000*D85</f>
        <v>7.5499200000000002E-2</v>
      </c>
    </row>
    <row r="86" spans="1:17" ht="17" x14ac:dyDescent="0.2">
      <c r="B86" s="1" t="s">
        <v>179</v>
      </c>
      <c r="D86" s="1">
        <f>D83/3</f>
        <v>10.08</v>
      </c>
      <c r="E86" s="1">
        <f>D86*7</f>
        <v>70.56</v>
      </c>
      <c r="G86" s="31">
        <f>'Price list REWE '!E83</f>
        <v>7.6410256410256414</v>
      </c>
      <c r="H86" s="31">
        <f>G86/1000*D86</f>
        <v>7.7021538461538461E-2</v>
      </c>
      <c r="J86" s="42">
        <f>'Price list REWE '!H83</f>
        <v>20.5625</v>
      </c>
      <c r="K86" s="42">
        <f>J86/1000*D86</f>
        <v>0.20727000000000001</v>
      </c>
      <c r="M86" s="31">
        <f>'Price list ALDI Süd'!E83</f>
        <v>7.6410256410256414</v>
      </c>
      <c r="N86" s="31">
        <f>M86/1000*D86</f>
        <v>7.7021538461538461E-2</v>
      </c>
      <c r="P86" s="42">
        <f>'Price list ALDI Süd'!H83</f>
        <v>20.5625</v>
      </c>
      <c r="Q86" s="42">
        <f>P86/1000*D86</f>
        <v>0.20727000000000001</v>
      </c>
    </row>
    <row r="87" spans="1:17" x14ac:dyDescent="0.2">
      <c r="A87" s="9">
        <v>3</v>
      </c>
      <c r="G87" s="31"/>
      <c r="H87" s="31"/>
      <c r="J87" s="42"/>
      <c r="K87" s="42"/>
      <c r="M87" s="31"/>
      <c r="N87" s="31"/>
      <c r="P87" s="42"/>
      <c r="Q87" s="42"/>
    </row>
    <row r="88" spans="1:17" s="4" customFormat="1" ht="17" x14ac:dyDescent="0.2">
      <c r="A88" s="12"/>
      <c r="B88" s="12" t="s">
        <v>411</v>
      </c>
      <c r="D88" s="4">
        <f>50*C4</f>
        <v>54</v>
      </c>
      <c r="E88" s="4">
        <f>D88*$E$10</f>
        <v>378</v>
      </c>
      <c r="F88" s="4">
        <f>172*C4</f>
        <v>185.76000000000002</v>
      </c>
    </row>
    <row r="89" spans="1:17" ht="17" x14ac:dyDescent="0.2">
      <c r="B89" s="1" t="s">
        <v>183</v>
      </c>
      <c r="D89" s="1">
        <f>$D$88/6</f>
        <v>9</v>
      </c>
      <c r="E89" s="1">
        <f t="shared" ref="E89:E94" si="25">D89*$E$10</f>
        <v>63</v>
      </c>
      <c r="G89" s="31">
        <f>'Price list REWE '!E86</f>
        <v>4.58</v>
      </c>
      <c r="H89" s="31">
        <f t="shared" ref="H89:H94" si="26">G89/1000*D89</f>
        <v>4.122E-2</v>
      </c>
      <c r="J89" s="42">
        <f>'Price list REWE '!H86</f>
        <v>3.3</v>
      </c>
      <c r="K89" s="42">
        <f t="shared" ref="K89:K94" si="27">J89/1000*D89</f>
        <v>2.9700000000000001E-2</v>
      </c>
      <c r="M89" s="31">
        <f>'Price list ALDI Süd'!E86</f>
        <v>3.98</v>
      </c>
      <c r="N89" s="31">
        <f t="shared" ref="N89:N94" si="28">M89/1000*D89</f>
        <v>3.5819999999999998E-2</v>
      </c>
      <c r="P89" s="42">
        <f>'Price list ALDI Süd'!H86</f>
        <v>3.3</v>
      </c>
      <c r="Q89" s="42">
        <f t="shared" ref="Q89:Q94" si="29">P89/1000*D89</f>
        <v>2.9700000000000001E-2</v>
      </c>
    </row>
    <row r="90" spans="1:17" ht="17" x14ac:dyDescent="0.2">
      <c r="B90" s="1" t="s">
        <v>186</v>
      </c>
      <c r="D90" s="1">
        <f t="shared" ref="D90:D94" si="30">$D$88/6</f>
        <v>9</v>
      </c>
      <c r="E90" s="1">
        <f t="shared" si="25"/>
        <v>63</v>
      </c>
      <c r="G90" s="31">
        <f>'Price list REWE '!E87</f>
        <v>2.9749999999999996</v>
      </c>
      <c r="H90" s="31">
        <f t="shared" si="26"/>
        <v>2.6774999999999997E-2</v>
      </c>
      <c r="J90" s="42">
        <f>'Price list REWE '!H87</f>
        <v>3.5833333333333335</v>
      </c>
      <c r="K90" s="42">
        <f t="shared" si="27"/>
        <v>3.2250000000000001E-2</v>
      </c>
      <c r="M90" s="31">
        <f>'Price list ALDI Süd'!E87</f>
        <v>2.9749999999999996</v>
      </c>
      <c r="N90" s="31">
        <f t="shared" si="28"/>
        <v>2.6774999999999997E-2</v>
      </c>
      <c r="P90" s="42">
        <f>'Price list ALDI Süd'!H87</f>
        <v>3.5833333333333335</v>
      </c>
      <c r="Q90" s="42">
        <f t="shared" si="29"/>
        <v>3.2250000000000001E-2</v>
      </c>
    </row>
    <row r="91" spans="1:17" ht="17" x14ac:dyDescent="0.2">
      <c r="B91" s="1" t="s">
        <v>189</v>
      </c>
      <c r="D91" s="1">
        <f t="shared" si="30"/>
        <v>9</v>
      </c>
      <c r="E91" s="1">
        <f t="shared" si="25"/>
        <v>63</v>
      </c>
      <c r="G91" s="31">
        <f>'Price list REWE '!E88</f>
        <v>1.7249999999999999</v>
      </c>
      <c r="H91" s="31">
        <f t="shared" si="26"/>
        <v>1.5525000000000001E-2</v>
      </c>
      <c r="J91" s="42">
        <f>'Price list REWE '!H88</f>
        <v>2.75</v>
      </c>
      <c r="K91" s="42">
        <f t="shared" si="27"/>
        <v>2.4749999999999998E-2</v>
      </c>
      <c r="M91" s="31">
        <f>'Price list ALDI Süd'!E88</f>
        <v>1.7249999999999999</v>
      </c>
      <c r="N91" s="31">
        <f t="shared" si="28"/>
        <v>1.5525000000000001E-2</v>
      </c>
      <c r="P91" s="42">
        <f>'Price list ALDI Süd'!H88</f>
        <v>2.75</v>
      </c>
      <c r="Q91" s="42">
        <f t="shared" si="29"/>
        <v>2.4749999999999998E-2</v>
      </c>
    </row>
    <row r="92" spans="1:17" ht="17" x14ac:dyDescent="0.2">
      <c r="B92" s="1" t="s">
        <v>192</v>
      </c>
      <c r="D92" s="1">
        <f t="shared" si="30"/>
        <v>9</v>
      </c>
      <c r="E92" s="1">
        <f t="shared" si="25"/>
        <v>63</v>
      </c>
      <c r="G92" s="31">
        <f>'Price list REWE '!E89</f>
        <v>1.99</v>
      </c>
      <c r="H92" s="31">
        <f t="shared" si="26"/>
        <v>1.7909999999999999E-2</v>
      </c>
      <c r="J92" s="42">
        <f>'Price list REWE '!H89</f>
        <v>3.98</v>
      </c>
      <c r="K92" s="42">
        <f t="shared" si="27"/>
        <v>3.5819999999999998E-2</v>
      </c>
      <c r="M92" s="31">
        <f>'Price list ALDI Süd'!E89</f>
        <v>1.99</v>
      </c>
      <c r="N92" s="31">
        <f t="shared" si="28"/>
        <v>1.7909999999999999E-2</v>
      </c>
      <c r="P92" s="42">
        <f>'Price list ALDI Süd'!H89</f>
        <v>3.32</v>
      </c>
      <c r="Q92" s="42">
        <f t="shared" si="29"/>
        <v>2.988E-2</v>
      </c>
    </row>
    <row r="93" spans="1:17" ht="17" x14ac:dyDescent="0.2">
      <c r="B93" s="1" t="s">
        <v>622</v>
      </c>
      <c r="D93" s="1">
        <f t="shared" si="30"/>
        <v>9</v>
      </c>
      <c r="E93" s="1">
        <f t="shared" si="25"/>
        <v>63</v>
      </c>
      <c r="G93" s="31">
        <f>'Price list REWE '!E90</f>
        <v>1.7249999999999999</v>
      </c>
      <c r="H93" s="31">
        <f t="shared" si="26"/>
        <v>1.5525000000000001E-2</v>
      </c>
      <c r="J93" s="42">
        <f>'Price list REWE '!H90</f>
        <v>3</v>
      </c>
      <c r="K93" s="42">
        <f t="shared" si="27"/>
        <v>2.7E-2</v>
      </c>
      <c r="M93" s="31">
        <f>'Price list ALDI Süd'!E90</f>
        <v>1.7249999999999999</v>
      </c>
      <c r="N93" s="31">
        <f t="shared" si="28"/>
        <v>1.5525000000000001E-2</v>
      </c>
      <c r="P93" s="42">
        <f>'Price list ALDI Süd'!H90</f>
        <v>2.75</v>
      </c>
      <c r="Q93" s="42">
        <f t="shared" si="29"/>
        <v>2.4749999999999998E-2</v>
      </c>
    </row>
    <row r="94" spans="1:17" ht="17" x14ac:dyDescent="0.2">
      <c r="B94" s="1" t="s">
        <v>623</v>
      </c>
      <c r="D94" s="1">
        <f t="shared" si="30"/>
        <v>9</v>
      </c>
      <c r="E94" s="1">
        <f t="shared" si="25"/>
        <v>63</v>
      </c>
      <c r="G94" s="31">
        <f>'Price list REWE '!E91</f>
        <v>2.0441176470588234</v>
      </c>
      <c r="H94" s="31">
        <f t="shared" si="26"/>
        <v>1.8397058823529412E-2</v>
      </c>
      <c r="J94" s="42">
        <f>'Price list REWE '!H91</f>
        <v>2.0441176470588234</v>
      </c>
      <c r="K94" s="42">
        <f t="shared" si="27"/>
        <v>1.8397058823529412E-2</v>
      </c>
      <c r="M94" s="31">
        <f>'Price list ALDI Süd'!E91</f>
        <v>3.3559322033898304</v>
      </c>
      <c r="N94" s="31">
        <f t="shared" si="28"/>
        <v>3.0203389830508475E-2</v>
      </c>
      <c r="P94" s="42">
        <f>'Price list ALDI Süd'!H91</f>
        <v>3.3559322033898304</v>
      </c>
      <c r="Q94" s="42">
        <f t="shared" si="29"/>
        <v>3.0203389830508475E-2</v>
      </c>
    </row>
    <row r="95" spans="1:17" x14ac:dyDescent="0.2">
      <c r="A95" s="9">
        <v>6</v>
      </c>
      <c r="G95" s="31"/>
      <c r="H95" s="31"/>
      <c r="J95" s="42"/>
      <c r="K95" s="42"/>
      <c r="M95" s="31"/>
      <c r="N95" s="31"/>
      <c r="P95" s="42"/>
      <c r="Q95" s="42"/>
    </row>
    <row r="96" spans="1:17" s="4" customFormat="1" ht="17" x14ac:dyDescent="0.2">
      <c r="A96" s="12"/>
      <c r="B96" s="12" t="s">
        <v>200</v>
      </c>
      <c r="D96" s="4">
        <f>25*C4</f>
        <v>27</v>
      </c>
      <c r="E96" s="4">
        <f>D96*E10</f>
        <v>189</v>
      </c>
      <c r="F96" s="4">
        <f>112*C4</f>
        <v>120.96000000000001</v>
      </c>
    </row>
    <row r="97" spans="1:17" ht="17" x14ac:dyDescent="0.2">
      <c r="B97" s="1" t="s">
        <v>201</v>
      </c>
      <c r="D97" s="1">
        <f>D96/2</f>
        <v>13.5</v>
      </c>
      <c r="E97" s="1">
        <f>D97*7</f>
        <v>94.5</v>
      </c>
      <c r="G97" s="31">
        <f>'Price list REWE '!E94</f>
        <v>5.48</v>
      </c>
      <c r="H97" s="31">
        <f>G97/1000*D97</f>
        <v>7.3980000000000004E-2</v>
      </c>
      <c r="J97" s="42">
        <f>'Price list REWE '!H94</f>
        <v>5.48</v>
      </c>
      <c r="K97" s="42">
        <f>J97/1000*D97</f>
        <v>7.3980000000000004E-2</v>
      </c>
      <c r="M97" s="31">
        <f>'Price list ALDI Süd'!E94</f>
        <v>5.48</v>
      </c>
      <c r="N97" s="31">
        <f>M97/1000*D97</f>
        <v>7.3980000000000004E-2</v>
      </c>
      <c r="P97" s="42">
        <f>'Price list ALDI Süd'!H94</f>
        <v>5.48</v>
      </c>
      <c r="Q97" s="42">
        <f>P97/1000*D97</f>
        <v>7.3980000000000004E-2</v>
      </c>
    </row>
    <row r="98" spans="1:17" ht="17" x14ac:dyDescent="0.2">
      <c r="B98" s="1" t="s">
        <v>203</v>
      </c>
      <c r="D98" s="1">
        <f>D96/2</f>
        <v>13.5</v>
      </c>
      <c r="E98" s="1">
        <f>D98*7</f>
        <v>94.5</v>
      </c>
      <c r="G98" s="31">
        <f>'Price list REWE '!E95</f>
        <v>6.26</v>
      </c>
      <c r="H98" s="31">
        <f>G98/1000*D98</f>
        <v>8.4510000000000002E-2</v>
      </c>
      <c r="J98" s="42">
        <f>'Price list REWE '!H95</f>
        <v>6.26</v>
      </c>
      <c r="K98" s="42">
        <f>J98/1000*D98</f>
        <v>8.4510000000000002E-2</v>
      </c>
      <c r="M98" s="31">
        <f>'Price list ALDI Süd'!E95</f>
        <v>6.26</v>
      </c>
      <c r="N98" s="31">
        <f>M98/1000*D98</f>
        <v>8.4510000000000002E-2</v>
      </c>
      <c r="P98" s="42">
        <f>'Price list ALDI Süd'!H95</f>
        <v>6.26</v>
      </c>
      <c r="Q98" s="42">
        <f>P98/1000*D98</f>
        <v>8.4510000000000002E-2</v>
      </c>
    </row>
    <row r="99" spans="1:17" x14ac:dyDescent="0.2">
      <c r="A99" s="9">
        <v>2</v>
      </c>
      <c r="G99" s="31"/>
      <c r="H99" s="31"/>
      <c r="J99" s="42"/>
      <c r="K99" s="42"/>
      <c r="M99" s="31"/>
      <c r="N99" s="31"/>
      <c r="P99" s="42"/>
      <c r="Q99" s="42"/>
    </row>
    <row r="100" spans="1:17" s="4" customFormat="1" ht="17" x14ac:dyDescent="0.2">
      <c r="A100" s="12"/>
      <c r="B100" s="12" t="s">
        <v>205</v>
      </c>
    </row>
    <row r="101" spans="1:17" s="4" customFormat="1" ht="17" x14ac:dyDescent="0.2">
      <c r="A101" s="12"/>
      <c r="B101" s="12" t="s">
        <v>206</v>
      </c>
      <c r="F101" s="4">
        <f>142*C4</f>
        <v>153.36000000000001</v>
      </c>
    </row>
    <row r="102" spans="1:17" ht="17" x14ac:dyDescent="0.2">
      <c r="B102" s="1" t="s">
        <v>207</v>
      </c>
      <c r="D102" s="1">
        <f>25*C4</f>
        <v>27</v>
      </c>
      <c r="E102" s="1">
        <f>D102*E10</f>
        <v>189</v>
      </c>
      <c r="G102" s="31">
        <f>'Price list REWE '!E99</f>
        <v>4.9800000000000004</v>
      </c>
      <c r="H102" s="31">
        <f>G102/1000*D102</f>
        <v>0.13446</v>
      </c>
      <c r="J102" s="42">
        <f>'Price list REWE '!H99</f>
        <v>4.9800000000000004</v>
      </c>
      <c r="K102" s="42">
        <f>J102/1000*D102</f>
        <v>0.13446</v>
      </c>
      <c r="M102" s="31">
        <f>'Price list ALDI Süd'!E99</f>
        <v>4.9800000000000004</v>
      </c>
      <c r="N102" s="31">
        <f>M102/1000*D102</f>
        <v>0.13446</v>
      </c>
      <c r="P102" s="42">
        <f>'Price list ALDI Süd'!H99</f>
        <v>4.9800000000000004</v>
      </c>
      <c r="Q102" s="42">
        <f>P102/1000*D102</f>
        <v>0.13446</v>
      </c>
    </row>
    <row r="103" spans="1:17" x14ac:dyDescent="0.2">
      <c r="A103" s="9">
        <v>1</v>
      </c>
      <c r="G103" s="31"/>
      <c r="H103" s="31"/>
      <c r="J103" s="42"/>
      <c r="K103" s="42"/>
      <c r="M103" s="31"/>
      <c r="N103" s="31"/>
      <c r="P103" s="42"/>
      <c r="Q103" s="42"/>
    </row>
    <row r="104" spans="1:17" s="4" customFormat="1" ht="17" x14ac:dyDescent="0.2">
      <c r="A104" s="12"/>
      <c r="B104" s="12" t="s">
        <v>412</v>
      </c>
      <c r="D104" s="4">
        <f>25*C4</f>
        <v>27</v>
      </c>
      <c r="E104" s="8">
        <f>D104*7</f>
        <v>189</v>
      </c>
      <c r="F104" s="8">
        <f>149*C4</f>
        <v>160.92000000000002</v>
      </c>
    </row>
    <row r="105" spans="1:17" ht="17" x14ac:dyDescent="0.2">
      <c r="B105" s="1" t="s">
        <v>210</v>
      </c>
      <c r="D105" s="7">
        <f>D104/2</f>
        <v>13.5</v>
      </c>
      <c r="E105" s="1">
        <f>D105*7</f>
        <v>94.5</v>
      </c>
      <c r="G105" s="31">
        <f>'Price list REWE '!E102</f>
        <v>11.45</v>
      </c>
      <c r="H105" s="31">
        <f>G105/1000*D105</f>
        <v>0.15457499999999999</v>
      </c>
      <c r="J105" s="42">
        <f>'Price list REWE '!H102</f>
        <v>17.95</v>
      </c>
      <c r="K105" s="42">
        <f>J105/1000*D105</f>
        <v>0.24232500000000001</v>
      </c>
      <c r="M105" s="31">
        <f>'Price list ALDI Süd'!E102</f>
        <v>11.45</v>
      </c>
      <c r="N105" s="31">
        <f>M105/1000*D105</f>
        <v>0.15457499999999999</v>
      </c>
      <c r="P105" s="42">
        <f>'Price list ALDI Süd'!H102</f>
        <v>14.75</v>
      </c>
      <c r="Q105" s="42">
        <f>P105/1000*D105</f>
        <v>0.199125</v>
      </c>
    </row>
    <row r="106" spans="1:17" ht="17" x14ac:dyDescent="0.2">
      <c r="B106" s="1" t="s">
        <v>213</v>
      </c>
      <c r="D106" s="7">
        <f>D104/2</f>
        <v>13.5</v>
      </c>
      <c r="E106" s="1">
        <f>D106*7</f>
        <v>94.5</v>
      </c>
      <c r="F106" s="7"/>
      <c r="G106" s="31">
        <f>'Price list REWE '!E103</f>
        <v>11.45</v>
      </c>
      <c r="H106" s="31">
        <f>G106/1000*D106</f>
        <v>0.15457499999999999</v>
      </c>
      <c r="J106" s="42">
        <f>'Price list REWE '!H103</f>
        <v>11.45</v>
      </c>
      <c r="K106" s="42">
        <f>J106/1000*D106</f>
        <v>0.15457499999999999</v>
      </c>
      <c r="M106" s="31">
        <f>'Price list ALDI Süd'!E103</f>
        <v>11.45</v>
      </c>
      <c r="N106" s="31">
        <f>M106/1000*D106</f>
        <v>0.15457499999999999</v>
      </c>
      <c r="P106" s="42">
        <f>'Price list ALDI Süd'!H103</f>
        <v>11.45</v>
      </c>
      <c r="Q106" s="42">
        <f>P106/1000*D106</f>
        <v>0.15457499999999999</v>
      </c>
    </row>
    <row r="107" spans="1:17" x14ac:dyDescent="0.2">
      <c r="A107" s="9">
        <v>2</v>
      </c>
      <c r="D107" s="7"/>
      <c r="E107" s="7"/>
      <c r="F107" s="7"/>
      <c r="G107" s="31"/>
      <c r="H107" s="31"/>
      <c r="J107" s="42"/>
      <c r="K107" s="42"/>
      <c r="M107" s="31"/>
      <c r="N107" s="31"/>
      <c r="P107" s="42"/>
      <c r="Q107" s="42"/>
    </row>
    <row r="108" spans="1:17" s="4" customFormat="1" ht="17" customHeight="1" x14ac:dyDescent="0.2">
      <c r="A108" s="12" t="s">
        <v>413</v>
      </c>
      <c r="D108" s="8">
        <f>6.8*C4</f>
        <v>7.3440000000000003</v>
      </c>
      <c r="E108" s="8">
        <f>D108*7</f>
        <v>51.408000000000001</v>
      </c>
      <c r="F108" s="8"/>
    </row>
    <row r="109" spans="1:17" ht="17" x14ac:dyDescent="0.2">
      <c r="B109" s="1" t="s">
        <v>216</v>
      </c>
      <c r="D109" s="1">
        <f>D108</f>
        <v>7.3440000000000003</v>
      </c>
      <c r="E109" s="1">
        <f>D109*7</f>
        <v>51.408000000000001</v>
      </c>
      <c r="F109" s="7">
        <f>60*C4</f>
        <v>64.800000000000011</v>
      </c>
      <c r="G109" s="31">
        <f>'Price list REWE '!E106</f>
        <v>2.98</v>
      </c>
      <c r="H109" s="31">
        <f>G109/1000*D109</f>
        <v>2.1885120000000001E-2</v>
      </c>
      <c r="J109" s="42">
        <f>'Price list REWE '!H106</f>
        <v>7.16</v>
      </c>
      <c r="K109" s="42">
        <f>J109/1000*D109</f>
        <v>5.2583040000000004E-2</v>
      </c>
      <c r="M109" s="31">
        <f>'Price list ALDI Süd'!E106</f>
        <v>3.38</v>
      </c>
      <c r="N109" s="31">
        <f>M109/1000*D109</f>
        <v>2.482272E-2</v>
      </c>
      <c r="P109" s="42">
        <f>'Price list ALDI Süd'!H106</f>
        <v>7.16</v>
      </c>
      <c r="Q109" s="42">
        <f>P109/1000*D109</f>
        <v>5.2583040000000004E-2</v>
      </c>
    </row>
    <row r="110" spans="1:17" x14ac:dyDescent="0.2">
      <c r="A110" s="9">
        <v>1</v>
      </c>
      <c r="G110" s="31"/>
      <c r="H110" s="31"/>
      <c r="J110" s="42"/>
      <c r="K110" s="42"/>
      <c r="M110" s="31"/>
      <c r="N110" s="31"/>
      <c r="P110" s="42"/>
      <c r="Q110" s="42"/>
    </row>
    <row r="111" spans="1:17" s="4" customFormat="1" ht="17" x14ac:dyDescent="0.2">
      <c r="A111" s="12"/>
      <c r="B111" s="12" t="s">
        <v>219</v>
      </c>
      <c r="D111" s="8">
        <f>40*C4</f>
        <v>43.2</v>
      </c>
      <c r="E111" s="8">
        <f>D111*7</f>
        <v>302.40000000000003</v>
      </c>
      <c r="F111" s="8">
        <f>354*C4</f>
        <v>382.32000000000005</v>
      </c>
    </row>
    <row r="112" spans="1:17" ht="17" x14ac:dyDescent="0.2">
      <c r="B112" s="1" t="s">
        <v>220</v>
      </c>
      <c r="D112" s="1">
        <f>$D$111/3</f>
        <v>14.4</v>
      </c>
      <c r="E112" s="7">
        <f>D112*7</f>
        <v>100.8</v>
      </c>
      <c r="G112" s="31">
        <f>'Price list REWE '!E109</f>
        <v>3.78</v>
      </c>
      <c r="H112" s="31">
        <f>G112/1000*D112</f>
        <v>5.4432000000000001E-2</v>
      </c>
      <c r="J112" s="42">
        <f>'Price list REWE '!H109</f>
        <v>3.5</v>
      </c>
      <c r="K112" s="42">
        <f>J112/1000*D112</f>
        <v>5.04E-2</v>
      </c>
      <c r="M112" s="31">
        <f>'Price list ALDI Süd'!E109</f>
        <v>1.851</v>
      </c>
      <c r="N112" s="31">
        <f>M112/1000*D112</f>
        <v>2.6654400000000002E-2</v>
      </c>
      <c r="P112" s="42">
        <f>'Price list ALDI Süd'!H109</f>
        <v>3.7</v>
      </c>
      <c r="Q112" s="42">
        <f>P112/1000*D112</f>
        <v>5.3280000000000001E-2</v>
      </c>
    </row>
    <row r="113" spans="1:17" ht="17" x14ac:dyDescent="0.2">
      <c r="B113" s="1" t="s">
        <v>223</v>
      </c>
      <c r="D113" s="1">
        <f>$D$111/3</f>
        <v>14.4</v>
      </c>
      <c r="E113" s="1">
        <f>D113*7</f>
        <v>100.8</v>
      </c>
      <c r="G113" s="31">
        <f>'Price list REWE '!E110</f>
        <v>8.99</v>
      </c>
      <c r="H113" s="31">
        <f>G113/1000*D113</f>
        <v>0.12945599999999999</v>
      </c>
      <c r="J113" s="42">
        <f>'Price list REWE '!H110</f>
        <v>14.58</v>
      </c>
      <c r="K113" s="42">
        <f>J113/1000*D113</f>
        <v>0.209952</v>
      </c>
      <c r="M113" s="31">
        <f>'Price list ALDI Süd'!E110</f>
        <v>7.99</v>
      </c>
      <c r="N113" s="31">
        <f>M113/1000*D113</f>
        <v>0.11505600000000001</v>
      </c>
      <c r="P113" s="42">
        <f>'Price list ALDI Süd'!H110</f>
        <v>9.32</v>
      </c>
      <c r="Q113" s="42">
        <f>P113/1000*D113</f>
        <v>0.13420799999999999</v>
      </c>
    </row>
    <row r="114" spans="1:17" ht="17" x14ac:dyDescent="0.2">
      <c r="A114" s="1"/>
      <c r="B114" s="1" t="s">
        <v>226</v>
      </c>
      <c r="D114" s="1">
        <f>$D$111/3</f>
        <v>14.4</v>
      </c>
      <c r="E114" s="1">
        <f>D114*7</f>
        <v>100.8</v>
      </c>
      <c r="F114" s="7"/>
      <c r="G114" s="31">
        <f>'Price list REWE '!E111</f>
        <v>10.36</v>
      </c>
      <c r="H114" s="31">
        <f>G114/1000*D114</f>
        <v>0.14918399999999998</v>
      </c>
      <c r="J114" s="42">
        <f>'Price list REWE '!H111</f>
        <v>15.96</v>
      </c>
      <c r="K114" s="42">
        <f>J114/1000*D114</f>
        <v>0.22982400000000003</v>
      </c>
      <c r="M114" s="31">
        <f>'Price list ALDI Süd'!E111</f>
        <v>6.76</v>
      </c>
      <c r="N114" s="31">
        <f>M114/1000*D114</f>
        <v>9.7344E-2</v>
      </c>
      <c r="P114" s="42">
        <f>'Price list ALDI Süd'!H111</f>
        <v>6.76</v>
      </c>
      <c r="Q114" s="42">
        <f>P114/1000*D114</f>
        <v>9.7344E-2</v>
      </c>
    </row>
    <row r="115" spans="1:17" x14ac:dyDescent="0.2">
      <c r="A115" s="9">
        <v>3</v>
      </c>
      <c r="F115" s="7"/>
      <c r="G115" s="31"/>
      <c r="H115" s="31"/>
      <c r="J115" s="42"/>
      <c r="K115" s="42"/>
      <c r="M115" s="31"/>
      <c r="N115" s="31"/>
      <c r="P115" s="42"/>
      <c r="Q115" s="42"/>
    </row>
    <row r="116" spans="1:17" s="4" customFormat="1" ht="17" x14ac:dyDescent="0.2">
      <c r="A116" s="12"/>
      <c r="B116" s="12" t="s">
        <v>229</v>
      </c>
      <c r="D116" s="8"/>
      <c r="E116" s="8"/>
      <c r="F116" s="8">
        <f>36*C4</f>
        <v>38.880000000000003</v>
      </c>
    </row>
    <row r="117" spans="1:17" ht="17" x14ac:dyDescent="0.2">
      <c r="B117" s="1" t="s">
        <v>230</v>
      </c>
      <c r="D117" s="7">
        <f>5*C4</f>
        <v>5.4</v>
      </c>
      <c r="E117" s="7">
        <f>D117*7</f>
        <v>37.800000000000004</v>
      </c>
      <c r="G117" s="31">
        <f>'Price list REWE '!E114</f>
        <v>5.8</v>
      </c>
      <c r="H117" s="31">
        <f>G117/1000*D117</f>
        <v>3.1320000000000001E-2</v>
      </c>
      <c r="J117" s="42">
        <f>'Price list REWE '!H114</f>
        <v>11.96</v>
      </c>
      <c r="K117" s="42">
        <f>J117/1000*D117</f>
        <v>6.4584000000000003E-2</v>
      </c>
      <c r="M117" s="31">
        <f>'Price list ALDI Süd'!E114</f>
        <v>5.8</v>
      </c>
      <c r="N117" s="31">
        <f>M117/1000*D117</f>
        <v>3.1320000000000001E-2</v>
      </c>
      <c r="P117" s="42">
        <f>'Price list ALDI Süd'!H114</f>
        <v>11.96</v>
      </c>
      <c r="Q117" s="42">
        <f>P117/1000*D117</f>
        <v>6.4584000000000003E-2</v>
      </c>
    </row>
    <row r="118" spans="1:17" x14ac:dyDescent="0.2">
      <c r="A118" s="9">
        <v>1</v>
      </c>
      <c r="D118" s="7"/>
      <c r="E118" s="7"/>
      <c r="F118" s="7"/>
      <c r="G118" s="31"/>
      <c r="H118" s="31"/>
      <c r="J118" s="42"/>
      <c r="K118" s="42"/>
      <c r="M118" s="31"/>
      <c r="N118" s="31"/>
      <c r="P118" s="42"/>
      <c r="Q118" s="42"/>
    </row>
    <row r="119" spans="1:17" s="4" customFormat="1" ht="17" x14ac:dyDescent="0.2">
      <c r="A119" s="12" t="s">
        <v>414</v>
      </c>
      <c r="D119" s="4">
        <f>31*C4</f>
        <v>33.480000000000004</v>
      </c>
      <c r="E119" s="4">
        <f>D119*E10</f>
        <v>234.36</v>
      </c>
      <c r="F119" s="4">
        <f>120*C4</f>
        <v>129.60000000000002</v>
      </c>
    </row>
    <row r="120" spans="1:17" ht="17" x14ac:dyDescent="0.2">
      <c r="A120" s="20"/>
      <c r="B120" s="1" t="s">
        <v>234</v>
      </c>
      <c r="D120" s="1">
        <f>D119/3</f>
        <v>11.160000000000002</v>
      </c>
      <c r="E120" s="1">
        <f>D120*7</f>
        <v>78.120000000000019</v>
      </c>
      <c r="G120" s="31">
        <f>'Price list REWE '!E117</f>
        <v>1.49</v>
      </c>
      <c r="H120" s="31">
        <f>G120/1000*D120</f>
        <v>1.6628400000000002E-2</v>
      </c>
      <c r="J120" s="42">
        <f>'Price list REWE '!H117</f>
        <v>2.59</v>
      </c>
      <c r="K120" s="42">
        <f>J120/1000*D120</f>
        <v>2.8904400000000004E-2</v>
      </c>
      <c r="M120" s="31">
        <f>'Price list ALDI Süd'!E117</f>
        <v>1.49</v>
      </c>
      <c r="N120" s="31">
        <f>M120/1000*D120</f>
        <v>1.6628400000000002E-2</v>
      </c>
      <c r="P120" s="42">
        <f>'Price list ALDI Süd'!H117</f>
        <v>2.59</v>
      </c>
      <c r="Q120" s="42">
        <f>P120/1000*D120</f>
        <v>2.8904400000000004E-2</v>
      </c>
    </row>
    <row r="121" spans="1:17" ht="17" x14ac:dyDescent="0.2">
      <c r="B121" s="1" t="s">
        <v>237</v>
      </c>
      <c r="D121" s="1">
        <f>D119/3</f>
        <v>11.160000000000002</v>
      </c>
      <c r="E121" s="1">
        <f>D121*7</f>
        <v>78.120000000000019</v>
      </c>
      <c r="G121" s="31">
        <f>'Price list REWE '!E118</f>
        <v>5.9</v>
      </c>
      <c r="H121" s="31">
        <f>G121/1000*D121</f>
        <v>6.5844000000000014E-2</v>
      </c>
      <c r="J121" s="42">
        <f>'Price list REWE '!H118</f>
        <v>12.9</v>
      </c>
      <c r="K121" s="42">
        <f>J121/1000*D121</f>
        <v>0.14396400000000004</v>
      </c>
      <c r="M121" s="31">
        <f>'Price list ALDI Süd'!E118</f>
        <v>5.9</v>
      </c>
      <c r="N121" s="31">
        <f>M121/1000*D121</f>
        <v>6.5844000000000014E-2</v>
      </c>
      <c r="P121" s="42">
        <f>'Price list ALDI Süd'!H118</f>
        <v>12.9</v>
      </c>
      <c r="Q121" s="42">
        <f>P121/1000*D121</f>
        <v>0.14396400000000004</v>
      </c>
    </row>
    <row r="122" spans="1:17" ht="17" x14ac:dyDescent="0.2">
      <c r="B122" s="1" t="s">
        <v>240</v>
      </c>
      <c r="D122" s="1">
        <f>D119/3</f>
        <v>11.160000000000002</v>
      </c>
      <c r="E122" s="1">
        <f>D122*7</f>
        <v>78.120000000000019</v>
      </c>
      <c r="G122" s="31">
        <f>'Price list REWE '!E119</f>
        <v>3.66</v>
      </c>
      <c r="H122" s="31">
        <f>G122/1000*D122</f>
        <v>4.084560000000001E-2</v>
      </c>
      <c r="J122" s="42">
        <f>'Price list REWE '!H119</f>
        <v>14.9</v>
      </c>
      <c r="K122" s="42">
        <f>J122/1000*D122</f>
        <v>0.16628400000000004</v>
      </c>
      <c r="M122" s="31">
        <f>'Price list ALDI Süd'!E119</f>
        <v>3.96</v>
      </c>
      <c r="N122" s="31">
        <f>M122/1000*D122</f>
        <v>4.4193600000000006E-2</v>
      </c>
      <c r="P122" s="42">
        <f>'Price list ALDI Süd'!H119</f>
        <v>9.4499999999999993</v>
      </c>
      <c r="Q122" s="42">
        <f>P122/1000*D122</f>
        <v>0.10546200000000001</v>
      </c>
    </row>
    <row r="123" spans="1:17" x14ac:dyDescent="0.2">
      <c r="A123" s="9">
        <v>3</v>
      </c>
      <c r="B123" s="15"/>
      <c r="G123" s="31"/>
      <c r="H123" s="31"/>
      <c r="J123" s="42"/>
      <c r="K123" s="42"/>
      <c r="M123" s="31"/>
      <c r="N123" s="31"/>
      <c r="P123" s="42"/>
      <c r="Q123" s="42"/>
    </row>
    <row r="124" spans="1:17" s="4" customFormat="1" ht="17" x14ac:dyDescent="0.2">
      <c r="A124" s="12" t="s">
        <v>615</v>
      </c>
      <c r="D124" s="4">
        <f>1500*C4</f>
        <v>1620</v>
      </c>
      <c r="E124" s="4">
        <f>D124*E10</f>
        <v>11340</v>
      </c>
    </row>
    <row r="125" spans="1:17" ht="17" x14ac:dyDescent="0.2">
      <c r="B125" s="1" t="s">
        <v>415</v>
      </c>
      <c r="D125" s="1">
        <f>D124-D126-D127</f>
        <v>1220</v>
      </c>
      <c r="E125" s="1">
        <f>D125*7</f>
        <v>8540</v>
      </c>
      <c r="G125" s="31">
        <f>'Price list REWE '!E122</f>
        <v>0.18</v>
      </c>
      <c r="H125" s="31">
        <f>G125/1000*D125</f>
        <v>0.21959999999999999</v>
      </c>
      <c r="J125" s="42">
        <f>'Price list REWE '!H122</f>
        <v>0.18</v>
      </c>
      <c r="K125" s="42">
        <f>J125/1000*D125</f>
        <v>0.21959999999999999</v>
      </c>
      <c r="M125" s="31">
        <f>'Price list ALDI Süd'!E122</f>
        <v>0.18</v>
      </c>
      <c r="N125" s="31">
        <f>M125/1000*D125</f>
        <v>0.21959999999999999</v>
      </c>
      <c r="P125" s="42">
        <f>'Price list ALDI Süd'!H122</f>
        <v>0.18</v>
      </c>
      <c r="Q125" s="42">
        <f>P125/1000*D125</f>
        <v>0.21959999999999999</v>
      </c>
    </row>
    <row r="126" spans="1:17" ht="17" x14ac:dyDescent="0.2">
      <c r="B126" s="1" t="s">
        <v>416</v>
      </c>
      <c r="D126" s="1">
        <v>200</v>
      </c>
      <c r="E126" s="1">
        <f>D126*7</f>
        <v>1400</v>
      </c>
      <c r="G126" s="31">
        <f>'Price list REWE '!E123</f>
        <v>6.98</v>
      </c>
      <c r="H126" s="31">
        <f>G126/1000*12</f>
        <v>8.3760000000000001E-2</v>
      </c>
      <c r="J126" s="42">
        <f>'Price list REWE '!H123</f>
        <v>11.98</v>
      </c>
      <c r="K126" s="42">
        <f>J126/1000*12</f>
        <v>0.14376</v>
      </c>
      <c r="M126" s="31">
        <f>'Price list ALDI Süd'!E123</f>
        <v>7.98</v>
      </c>
      <c r="N126" s="31">
        <f>M126/1000*12</f>
        <v>9.5760000000000012E-2</v>
      </c>
      <c r="P126" s="42">
        <f>'Price list ALDI Süd'!H123</f>
        <v>11.38</v>
      </c>
      <c r="Q126" s="42">
        <f>P126/1000*12</f>
        <v>0.13656000000000001</v>
      </c>
    </row>
    <row r="127" spans="1:17" ht="17" x14ac:dyDescent="0.2">
      <c r="B127" s="1" t="s">
        <v>417</v>
      </c>
      <c r="D127" s="1">
        <v>200</v>
      </c>
      <c r="E127" s="1">
        <f>D127*7</f>
        <v>1400</v>
      </c>
      <c r="G127" s="31">
        <f>'Price list REWE '!E124</f>
        <v>12.27</v>
      </c>
      <c r="H127" s="31">
        <f>G127/1000*(56/25)</f>
        <v>2.74848E-2</v>
      </c>
      <c r="J127" s="42">
        <f>'Price list REWE '!H124</f>
        <v>67.25</v>
      </c>
      <c r="K127" s="42">
        <f>J127/1000*(40/20)</f>
        <v>0.13450000000000001</v>
      </c>
      <c r="M127" s="31">
        <f>'Price list ALDI Süd'!E124</f>
        <v>12.27</v>
      </c>
      <c r="N127" s="31">
        <f>M127/1000*(56.25/25)</f>
        <v>2.76075E-2</v>
      </c>
      <c r="P127" s="42">
        <f>'Price list ALDI Süd'!H124</f>
        <v>67.25</v>
      </c>
      <c r="Q127" s="42">
        <f>P127/1000*(40/20)</f>
        <v>0.13450000000000001</v>
      </c>
    </row>
    <row r="128" spans="1:17" ht="17" x14ac:dyDescent="0.2">
      <c r="B128" s="1" t="s">
        <v>439</v>
      </c>
      <c r="D128" s="1">
        <f>E128/7</f>
        <v>47.142857142857146</v>
      </c>
      <c r="E128" s="1">
        <v>330</v>
      </c>
      <c r="G128" s="31">
        <f>'Price list REWE '!E125</f>
        <v>0.9</v>
      </c>
      <c r="H128" s="31">
        <f>G128/1000*D128</f>
        <v>4.2428571428571434E-2</v>
      </c>
      <c r="J128" s="42">
        <f>'Price list REWE '!H125</f>
        <v>2</v>
      </c>
      <c r="K128" s="42">
        <f>J128/1000*D128</f>
        <v>9.4285714285714292E-2</v>
      </c>
      <c r="M128" s="31">
        <f>'Price list ALDI Süd'!E125</f>
        <v>0.9</v>
      </c>
      <c r="N128" s="31">
        <f>M128/1000*D128</f>
        <v>4.2428571428571434E-2</v>
      </c>
      <c r="P128" s="42">
        <f>'Price list ALDI Süd'!H125</f>
        <v>2</v>
      </c>
      <c r="Q128" s="42">
        <f>P128/1000*D128</f>
        <v>9.4285714285714292E-2</v>
      </c>
    </row>
    <row r="129" spans="1:19" ht="17" x14ac:dyDescent="0.2">
      <c r="B129" s="1" t="s">
        <v>440</v>
      </c>
      <c r="D129" s="1">
        <f>E129/7</f>
        <v>35.714285714285715</v>
      </c>
      <c r="E129" s="1">
        <v>250</v>
      </c>
      <c r="G129" s="31">
        <f>'Price list REWE '!E126</f>
        <v>2.65</v>
      </c>
      <c r="H129" s="31">
        <f>G129/1000*D129</f>
        <v>9.464285714285714E-2</v>
      </c>
      <c r="J129" s="42">
        <f>'Price list REWE '!H126</f>
        <v>5.32</v>
      </c>
      <c r="K129" s="42">
        <f>J129/1000*D129</f>
        <v>0.19</v>
      </c>
      <c r="M129" s="31">
        <f>'Price list ALDI Süd'!E126</f>
        <v>2.92</v>
      </c>
      <c r="N129" s="31">
        <f>M129/1000*D129</f>
        <v>0.10428571428571429</v>
      </c>
      <c r="P129" s="42">
        <f>'Price list ALDI Süd'!H126</f>
        <v>3.45</v>
      </c>
      <c r="Q129" s="42">
        <f>P129/1000*D129</f>
        <v>0.12321428571428573</v>
      </c>
    </row>
    <row r="130" spans="1:19" x14ac:dyDescent="0.2">
      <c r="A130" s="9">
        <v>5</v>
      </c>
    </row>
    <row r="132" spans="1:19" s="4" customFormat="1" ht="17" x14ac:dyDescent="0.2">
      <c r="A132" s="185" t="s">
        <v>431</v>
      </c>
      <c r="F132" s="12" t="s">
        <v>423</v>
      </c>
      <c r="G132" s="91"/>
      <c r="H132" s="185" t="s">
        <v>432</v>
      </c>
      <c r="I132" s="81"/>
      <c r="J132" s="81"/>
      <c r="K132" s="185" t="s">
        <v>432</v>
      </c>
      <c r="L132" s="220"/>
      <c r="M132" s="220"/>
      <c r="N132" s="185" t="s">
        <v>432</v>
      </c>
      <c r="O132" s="220"/>
      <c r="P132" s="220"/>
      <c r="Q132" s="185" t="s">
        <v>432</v>
      </c>
      <c r="R132" s="255"/>
      <c r="S132" s="92"/>
    </row>
    <row r="133" spans="1:19" ht="17" x14ac:dyDescent="0.2">
      <c r="A133" s="273">
        <f>A130+A123+A118+A115+A107+A103+A99+A95+A87+A82+A79+A76+A73+A70+A59+A47+A40+A20+A17+A32+A110</f>
        <v>75</v>
      </c>
      <c r="D133" s="9"/>
      <c r="E133" s="9"/>
      <c r="F133" s="1">
        <f>F119+F116+F111+F109+F104+F101+F96+F88+F83+F80+F77+F74+F71+F60+F48+F41+F33+F23+F18+F11</f>
        <v>2703.2400000000002</v>
      </c>
      <c r="H133" s="1" t="s">
        <v>433</v>
      </c>
      <c r="K133" s="1" t="s">
        <v>433</v>
      </c>
      <c r="N133" s="1" t="s">
        <v>433</v>
      </c>
      <c r="Q133" s="1" t="s">
        <v>433</v>
      </c>
    </row>
    <row r="134" spans="1:19" x14ac:dyDescent="0.2">
      <c r="H134" s="1">
        <f>SUM(H12:H129)</f>
        <v>5.4064994657483512</v>
      </c>
      <c r="K134" s="1">
        <f>SUM(K12:K129)</f>
        <v>8.8166174086187077</v>
      </c>
      <c r="N134" s="1">
        <f>SUM(N12:N133)</f>
        <v>5.2780497512778712</v>
      </c>
      <c r="Q134" s="1">
        <f>SUM(Q12:Q133)</f>
        <v>7.6861711907608745</v>
      </c>
    </row>
    <row r="136" spans="1:19" ht="17" x14ac:dyDescent="0.2">
      <c r="H136" s="9" t="s">
        <v>434</v>
      </c>
      <c r="I136" s="9"/>
      <c r="J136" s="9"/>
      <c r="K136" s="9" t="s">
        <v>434</v>
      </c>
      <c r="L136" s="9"/>
      <c r="M136" s="9"/>
      <c r="N136" s="9" t="s">
        <v>434</v>
      </c>
      <c r="O136" s="9"/>
      <c r="P136" s="9"/>
      <c r="Q136" s="9" t="s">
        <v>434</v>
      </c>
    </row>
    <row r="137" spans="1:19" x14ac:dyDescent="0.2">
      <c r="H137" s="9">
        <f>H134*30</f>
        <v>162.19498397245053</v>
      </c>
      <c r="I137" s="9"/>
      <c r="J137" s="9"/>
      <c r="K137" s="9">
        <f>K134*30</f>
        <v>264.49852225856125</v>
      </c>
      <c r="L137" s="9"/>
      <c r="M137" s="9"/>
      <c r="N137" s="9">
        <f>N134*30</f>
        <v>158.34149253833613</v>
      </c>
      <c r="O137" s="9"/>
      <c r="P137" s="9"/>
      <c r="Q137" s="9">
        <f>Q134*30</f>
        <v>230.58513572282624</v>
      </c>
    </row>
  </sheetData>
  <mergeCells count="9">
    <mergeCell ref="A2:Q2"/>
    <mergeCell ref="G5:K6"/>
    <mergeCell ref="M5:Q6"/>
    <mergeCell ref="A1:Q1"/>
    <mergeCell ref="G7:H8"/>
    <mergeCell ref="J7:K8"/>
    <mergeCell ref="M7:N8"/>
    <mergeCell ref="P7:Q8"/>
    <mergeCell ref="A4:B4"/>
  </mergeCells>
  <pageMargins left="0.7" right="0.7" top="0.78740157499999996" bottom="0.78740157499999996" header="0.3" footer="0.3"/>
  <pageSetup paperSize="9" scale="28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8A1FE-A35A-C242-9D97-9000ECBFB20D}">
  <sheetPr codeName="Tabelle7">
    <tabColor theme="4" tint="0.79998168889431442"/>
    <pageSetUpPr fitToPage="1"/>
  </sheetPr>
  <dimension ref="A1:N141"/>
  <sheetViews>
    <sheetView zoomScale="150" zoomScaleNormal="85" workbookViewId="0">
      <pane ySplit="5" topLeftCell="A6" activePane="bottomLeft" state="frozen"/>
      <selection pane="bottomLeft" activeCell="A3" sqref="A3:F3"/>
    </sheetView>
  </sheetViews>
  <sheetFormatPr baseColWidth="10" defaultColWidth="10.83203125" defaultRowHeight="16" x14ac:dyDescent="0.2"/>
  <cols>
    <col min="1" max="1" width="24.6640625" style="9" customWidth="1"/>
    <col min="2" max="2" width="29.5" style="1" customWidth="1"/>
    <col min="3" max="3" width="10.6640625" style="1" customWidth="1"/>
    <col min="4" max="4" width="19.33203125" style="1" customWidth="1"/>
    <col min="5" max="5" width="20.5" style="1" customWidth="1"/>
    <col min="6" max="6" width="15.1640625" style="1" customWidth="1"/>
    <col min="7" max="8" width="16" style="1" customWidth="1"/>
    <col min="9" max="9" width="15.5" style="1" customWidth="1"/>
    <col min="10" max="10" width="17.33203125" style="1" customWidth="1"/>
    <col min="11" max="11" width="15.5" style="1" customWidth="1"/>
    <col min="12" max="12" width="15.6640625" style="1" customWidth="1"/>
    <col min="13" max="13" width="15.33203125" style="1" customWidth="1"/>
    <col min="14" max="14" width="15.1640625" style="1" customWidth="1"/>
    <col min="15" max="15" width="12.33203125" style="1" customWidth="1"/>
    <col min="16" max="16" width="20.1640625" style="1" customWidth="1"/>
    <col min="17" max="17" width="18.33203125" style="1" customWidth="1"/>
    <col min="18" max="16384" width="10.83203125" style="1"/>
  </cols>
  <sheetData>
    <row r="1" spans="1:14" ht="17" customHeight="1" x14ac:dyDescent="0.2">
      <c r="A1" s="382" t="s">
        <v>12</v>
      </c>
      <c r="B1" s="383"/>
      <c r="C1" s="383"/>
      <c r="D1" s="383"/>
      <c r="E1" s="383"/>
      <c r="F1" s="384"/>
    </row>
    <row r="2" spans="1:14" x14ac:dyDescent="0.2">
      <c r="A2" s="382" t="s">
        <v>632</v>
      </c>
      <c r="B2" s="383"/>
      <c r="C2" s="383"/>
      <c r="D2" s="383"/>
      <c r="E2" s="383"/>
      <c r="F2" s="384"/>
    </row>
    <row r="3" spans="1:14" ht="17" customHeight="1" x14ac:dyDescent="0.2">
      <c r="A3" s="382" t="s">
        <v>385</v>
      </c>
      <c r="B3" s="383"/>
      <c r="C3" s="383"/>
      <c r="D3" s="383"/>
      <c r="E3" s="383"/>
      <c r="F3" s="384"/>
      <c r="I3" s="15"/>
      <c r="J3" s="15"/>
      <c r="K3" s="15"/>
      <c r="L3" s="15"/>
    </row>
    <row r="4" spans="1:14" ht="16" customHeight="1" x14ac:dyDescent="0.2">
      <c r="A4" s="117"/>
      <c r="B4" s="118"/>
      <c r="C4" s="118"/>
      <c r="D4" s="118"/>
      <c r="E4" s="118"/>
      <c r="F4" s="119"/>
    </row>
    <row r="5" spans="1:14" s="12" customFormat="1" ht="34" customHeight="1" x14ac:dyDescent="0.2">
      <c r="A5" s="12" t="s">
        <v>17</v>
      </c>
      <c r="B5" s="12" t="s">
        <v>18</v>
      </c>
      <c r="C5" s="12" t="s">
        <v>386</v>
      </c>
      <c r="D5" s="12" t="s">
        <v>387</v>
      </c>
      <c r="E5" s="12" t="s">
        <v>388</v>
      </c>
      <c r="F5" s="12" t="s">
        <v>444</v>
      </c>
      <c r="G5" s="397"/>
      <c r="H5" s="397"/>
      <c r="I5" s="397"/>
      <c r="J5" s="397"/>
      <c r="L5" s="103"/>
      <c r="M5" s="397"/>
      <c r="N5" s="397"/>
    </row>
    <row r="6" spans="1:14" s="9" customFormat="1" x14ac:dyDescent="0.2">
      <c r="E6" s="9">
        <v>7</v>
      </c>
    </row>
    <row r="7" spans="1:14" s="4" customFormat="1" ht="18" customHeight="1" x14ac:dyDescent="0.2">
      <c r="A7" s="12" t="s">
        <v>390</v>
      </c>
      <c r="B7" s="12" t="s">
        <v>23</v>
      </c>
      <c r="D7" s="4">
        <v>232</v>
      </c>
      <c r="E7" s="4">
        <f t="shared" ref="E7:E12" si="0">D7*$E$6</f>
        <v>1624</v>
      </c>
      <c r="F7" s="4">
        <v>811</v>
      </c>
    </row>
    <row r="8" spans="1:14" ht="19" customHeight="1" x14ac:dyDescent="0.2">
      <c r="B8" s="1" t="s">
        <v>24</v>
      </c>
      <c r="D8" s="1">
        <v>30</v>
      </c>
      <c r="E8" s="1">
        <f t="shared" si="0"/>
        <v>210</v>
      </c>
    </row>
    <row r="9" spans="1:14" ht="17" x14ac:dyDescent="0.2">
      <c r="B9" s="1" t="s">
        <v>27</v>
      </c>
      <c r="D9" s="1">
        <v>50</v>
      </c>
      <c r="E9" s="1">
        <f t="shared" si="0"/>
        <v>350</v>
      </c>
    </row>
    <row r="10" spans="1:14" ht="17" x14ac:dyDescent="0.2">
      <c r="B10" s="1" t="s">
        <v>30</v>
      </c>
      <c r="D10" s="1">
        <v>50</v>
      </c>
      <c r="E10" s="1">
        <f t="shared" si="0"/>
        <v>350</v>
      </c>
    </row>
    <row r="11" spans="1:14" ht="17" x14ac:dyDescent="0.2">
      <c r="B11" s="1" t="s">
        <v>33</v>
      </c>
      <c r="D11" s="1">
        <v>40</v>
      </c>
      <c r="E11" s="1">
        <f>D11*$E$6</f>
        <v>280</v>
      </c>
    </row>
    <row r="12" spans="1:14" ht="17" x14ac:dyDescent="0.2">
      <c r="B12" s="1" t="s">
        <v>36</v>
      </c>
      <c r="D12" s="1">
        <v>62</v>
      </c>
      <c r="E12" s="1">
        <f t="shared" si="0"/>
        <v>434</v>
      </c>
    </row>
    <row r="13" spans="1:14" x14ac:dyDescent="0.2">
      <c r="A13" s="9">
        <v>5</v>
      </c>
    </row>
    <row r="14" spans="1:14" s="4" customFormat="1" ht="17" customHeight="1" x14ac:dyDescent="0.2">
      <c r="A14" s="12" t="s">
        <v>39</v>
      </c>
      <c r="B14" s="12" t="s">
        <v>40</v>
      </c>
      <c r="D14" s="4">
        <v>50</v>
      </c>
      <c r="E14" s="4">
        <f>D14*$E$6</f>
        <v>350</v>
      </c>
      <c r="F14" s="4">
        <v>39</v>
      </c>
    </row>
    <row r="15" spans="1:14" ht="17" x14ac:dyDescent="0.2">
      <c r="B15" s="1" t="s">
        <v>41</v>
      </c>
      <c r="D15" s="1">
        <v>50</v>
      </c>
      <c r="E15" s="1">
        <f>D15*E6</f>
        <v>350</v>
      </c>
    </row>
    <row r="16" spans="1:14" x14ac:dyDescent="0.2">
      <c r="A16" s="9">
        <v>1</v>
      </c>
    </row>
    <row r="17" spans="1:6" s="4" customFormat="1" ht="17" x14ac:dyDescent="0.2">
      <c r="A17" s="12" t="s">
        <v>391</v>
      </c>
      <c r="D17" s="4">
        <v>300</v>
      </c>
      <c r="E17" s="4">
        <f>D17*$E$6</f>
        <v>2100</v>
      </c>
    </row>
    <row r="18" spans="1:6" x14ac:dyDescent="0.2">
      <c r="A18" s="3"/>
      <c r="C18" s="5"/>
    </row>
    <row r="19" spans="1:6" s="4" customFormat="1" ht="17" x14ac:dyDescent="0.2">
      <c r="A19" s="12"/>
      <c r="B19" s="12" t="s">
        <v>45</v>
      </c>
      <c r="D19" s="4">
        <v>100</v>
      </c>
      <c r="E19" s="4">
        <f>D19*7</f>
        <v>700</v>
      </c>
      <c r="F19" s="4">
        <v>23</v>
      </c>
    </row>
    <row r="20" spans="1:6" ht="17" x14ac:dyDescent="0.2">
      <c r="B20" s="16" t="s">
        <v>392</v>
      </c>
      <c r="C20" s="340">
        <v>8.1854823894030371E-2</v>
      </c>
      <c r="D20" s="6">
        <f>C20*$D$19</f>
        <v>8.1854823894030364</v>
      </c>
      <c r="E20" s="1">
        <f>D20*7</f>
        <v>57.298376725821257</v>
      </c>
    </row>
    <row r="21" spans="1:6" ht="17" x14ac:dyDescent="0.2">
      <c r="B21" s="16" t="s">
        <v>393</v>
      </c>
      <c r="C21" s="340">
        <v>4.183137662165242E-2</v>
      </c>
      <c r="D21" s="6">
        <f t="shared" ref="D21:D27" si="1">C21*$D$19</f>
        <v>4.1831376621652421</v>
      </c>
      <c r="E21" s="1">
        <f t="shared" ref="E21:E27" si="2">D21*7</f>
        <v>29.281963635156693</v>
      </c>
    </row>
    <row r="22" spans="1:6" ht="17" x14ac:dyDescent="0.2">
      <c r="B22" s="16" t="s">
        <v>51</v>
      </c>
      <c r="C22" s="340">
        <v>5.5140886754685689E-2</v>
      </c>
      <c r="D22" s="6">
        <f t="shared" si="1"/>
        <v>5.5140886754685692</v>
      </c>
      <c r="E22" s="1">
        <f t="shared" si="2"/>
        <v>38.598620728279982</v>
      </c>
    </row>
    <row r="23" spans="1:6" ht="17" x14ac:dyDescent="0.2">
      <c r="B23" s="16" t="s">
        <v>394</v>
      </c>
      <c r="C23" s="340">
        <v>7.8411761271535096E-2</v>
      </c>
      <c r="D23" s="6">
        <f t="shared" si="1"/>
        <v>7.8411761271535099</v>
      </c>
      <c r="E23" s="1">
        <f t="shared" si="2"/>
        <v>54.888232890074569</v>
      </c>
    </row>
    <row r="24" spans="1:6" ht="17" x14ac:dyDescent="0.2">
      <c r="B24" s="16" t="s">
        <v>395</v>
      </c>
      <c r="C24" s="340">
        <v>0.10804527200358816</v>
      </c>
      <c r="D24" s="6">
        <f t="shared" si="1"/>
        <v>10.804527200358816</v>
      </c>
      <c r="E24" s="1">
        <f t="shared" si="2"/>
        <v>75.631690402511708</v>
      </c>
    </row>
    <row r="25" spans="1:6" ht="17" x14ac:dyDescent="0.2">
      <c r="B25" s="10" t="s">
        <v>396</v>
      </c>
      <c r="C25" s="340">
        <v>0.24433687491347134</v>
      </c>
      <c r="D25" s="6">
        <f t="shared" si="1"/>
        <v>24.433687491347133</v>
      </c>
      <c r="E25" s="1">
        <f t="shared" si="2"/>
        <v>171.03581243942992</v>
      </c>
    </row>
    <row r="26" spans="1:6" ht="17" x14ac:dyDescent="0.2">
      <c r="B26" s="16" t="s">
        <v>63</v>
      </c>
      <c r="C26" s="340">
        <v>0.19518950227051848</v>
      </c>
      <c r="D26" s="6">
        <f t="shared" si="1"/>
        <v>19.51895022705185</v>
      </c>
      <c r="E26" s="1">
        <f t="shared" si="2"/>
        <v>136.63265158936295</v>
      </c>
    </row>
    <row r="27" spans="1:6" ht="17" x14ac:dyDescent="0.2">
      <c r="B27" s="16" t="s">
        <v>66</v>
      </c>
      <c r="C27" s="340">
        <v>0.19518950227051848</v>
      </c>
      <c r="D27" s="6">
        <f t="shared" si="1"/>
        <v>19.51895022705185</v>
      </c>
      <c r="E27" s="1">
        <f t="shared" si="2"/>
        <v>136.63265158936295</v>
      </c>
    </row>
    <row r="28" spans="1:6" x14ac:dyDescent="0.2">
      <c r="A28" s="9">
        <v>8</v>
      </c>
      <c r="B28" s="17"/>
      <c r="C28" s="340"/>
    </row>
    <row r="29" spans="1:6" s="4" customFormat="1" ht="17" x14ac:dyDescent="0.2">
      <c r="A29" s="12"/>
      <c r="B29" s="12" t="s">
        <v>69</v>
      </c>
      <c r="C29" s="341"/>
      <c r="F29" s="4">
        <v>30</v>
      </c>
    </row>
    <row r="30" spans="1:6" ht="17" x14ac:dyDescent="0.2">
      <c r="B30" s="23" t="s">
        <v>70</v>
      </c>
      <c r="C30" s="340">
        <v>0.21012979994107583</v>
      </c>
      <c r="D30" s="6">
        <v>21.012979994107585</v>
      </c>
      <c r="E30" s="1">
        <f t="shared" ref="E30:E35" si="3">D30*7</f>
        <v>147.0908599587531</v>
      </c>
    </row>
    <row r="31" spans="1:6" ht="17" x14ac:dyDescent="0.2">
      <c r="B31" s="10" t="s">
        <v>73</v>
      </c>
      <c r="C31" s="340">
        <v>0.19042830974833957</v>
      </c>
      <c r="D31" s="6">
        <v>19.042830974833961</v>
      </c>
      <c r="E31" s="1">
        <f t="shared" si="3"/>
        <v>133.29981682383772</v>
      </c>
    </row>
    <row r="32" spans="1:6" ht="17" x14ac:dyDescent="0.2">
      <c r="B32" s="23" t="s">
        <v>76</v>
      </c>
      <c r="C32" s="340">
        <v>0.19042830974833957</v>
      </c>
      <c r="D32" s="6">
        <v>19.042830974833961</v>
      </c>
      <c r="E32" s="1">
        <f t="shared" si="3"/>
        <v>133.29981682383772</v>
      </c>
    </row>
    <row r="33" spans="1:6" ht="17" x14ac:dyDescent="0.2">
      <c r="B33" s="23" t="s">
        <v>79</v>
      </c>
      <c r="C33" s="340">
        <v>0.19042830974833957</v>
      </c>
      <c r="D33" s="6">
        <v>19.042830974833961</v>
      </c>
      <c r="E33" s="1">
        <f t="shared" si="3"/>
        <v>133.29981682383772</v>
      </c>
    </row>
    <row r="34" spans="1:6" ht="17" x14ac:dyDescent="0.2">
      <c r="B34" s="16" t="s">
        <v>82</v>
      </c>
      <c r="C34" s="340">
        <v>0.10929263540695267</v>
      </c>
      <c r="D34" s="6">
        <v>10.929263540695269</v>
      </c>
      <c r="E34" s="1">
        <f t="shared" si="3"/>
        <v>76.504844784866876</v>
      </c>
    </row>
    <row r="35" spans="1:6" ht="17" x14ac:dyDescent="0.2">
      <c r="B35" s="16" t="s">
        <v>397</v>
      </c>
      <c r="C35" s="340">
        <v>0.10929263540695267</v>
      </c>
      <c r="D35" s="6">
        <v>10.929263540695269</v>
      </c>
      <c r="E35" s="1">
        <f t="shared" si="3"/>
        <v>76.504844784866876</v>
      </c>
    </row>
    <row r="36" spans="1:6" x14ac:dyDescent="0.2">
      <c r="A36" s="9">
        <v>6</v>
      </c>
      <c r="C36" s="340"/>
      <c r="D36" s="6"/>
    </row>
    <row r="37" spans="1:6" s="4" customFormat="1" ht="17" x14ac:dyDescent="0.2">
      <c r="A37" s="12"/>
      <c r="B37" s="25" t="s">
        <v>88</v>
      </c>
      <c r="C37" s="343"/>
      <c r="D37" s="21"/>
      <c r="E37" s="22"/>
      <c r="F37" s="4">
        <v>25</v>
      </c>
    </row>
    <row r="38" spans="1:6" ht="17" x14ac:dyDescent="0.2">
      <c r="B38" s="16" t="s">
        <v>89</v>
      </c>
      <c r="C38" s="340">
        <v>0.24393305975418372</v>
      </c>
      <c r="D38" s="1">
        <v>24.393305975418372</v>
      </c>
      <c r="E38" s="1">
        <f>D38*7</f>
        <v>170.7531418279286</v>
      </c>
    </row>
    <row r="39" spans="1:6" ht="17" x14ac:dyDescent="0.2">
      <c r="B39" s="16" t="s">
        <v>91</v>
      </c>
      <c r="C39" s="340">
        <v>0.10630306243579046</v>
      </c>
      <c r="D39" s="1">
        <v>10.630306243579046</v>
      </c>
      <c r="E39" s="1">
        <f>D39*7</f>
        <v>74.412143705053325</v>
      </c>
    </row>
    <row r="40" spans="1:6" ht="17" x14ac:dyDescent="0.2">
      <c r="B40" s="10" t="s">
        <v>94</v>
      </c>
      <c r="C40" s="87">
        <v>0.46774770023805184</v>
      </c>
      <c r="D40" s="6">
        <v>46.774770023805182</v>
      </c>
      <c r="E40" s="1">
        <f>D40*7</f>
        <v>327.4233901666363</v>
      </c>
    </row>
    <row r="41" spans="1:6" ht="17" x14ac:dyDescent="0.2">
      <c r="B41" s="10" t="s">
        <v>398</v>
      </c>
      <c r="C41" s="87">
        <v>0.10260798307610458</v>
      </c>
      <c r="D41" s="6">
        <v>10.260798307610457</v>
      </c>
      <c r="E41" s="1">
        <f>D41*7</f>
        <v>71.825588153273202</v>
      </c>
    </row>
    <row r="42" spans="1:6" ht="17" x14ac:dyDescent="0.2">
      <c r="B42" s="16" t="s">
        <v>100</v>
      </c>
      <c r="C42" s="87">
        <v>7.9408194495869444E-2</v>
      </c>
      <c r="D42" s="1">
        <v>7.9408194495869449</v>
      </c>
      <c r="E42" s="1">
        <f>D42*7</f>
        <v>55.585736147108612</v>
      </c>
    </row>
    <row r="43" spans="1:6" x14ac:dyDescent="0.2">
      <c r="A43" s="9">
        <v>5</v>
      </c>
      <c r="C43" s="87"/>
    </row>
    <row r="44" spans="1:6" s="4" customFormat="1" ht="17" x14ac:dyDescent="0.2">
      <c r="A44" s="12" t="s">
        <v>399</v>
      </c>
      <c r="C44" s="88"/>
      <c r="D44" s="4">
        <v>200</v>
      </c>
      <c r="E44" s="4">
        <f>D44*$E$6</f>
        <v>1400</v>
      </c>
      <c r="F44" s="4">
        <v>126</v>
      </c>
    </row>
    <row r="45" spans="1:6" ht="17" x14ac:dyDescent="0.2">
      <c r="B45" s="11" t="s">
        <v>103</v>
      </c>
      <c r="C45" s="342">
        <v>0.44966025536520082</v>
      </c>
      <c r="D45" s="1">
        <f>C45*$D$44</f>
        <v>89.932051073040171</v>
      </c>
      <c r="E45" s="1">
        <f t="shared" ref="E45:E54" si="4">D45*$E$6</f>
        <v>629.52435751128121</v>
      </c>
    </row>
    <row r="46" spans="1:6" ht="17" x14ac:dyDescent="0.2">
      <c r="B46" s="11" t="s">
        <v>106</v>
      </c>
      <c r="C46" s="342">
        <v>4.5787970295011769E-2</v>
      </c>
      <c r="D46" s="1">
        <f t="shared" ref="D46:D54" si="5">C46*$D$44</f>
        <v>9.1575940590023546</v>
      </c>
      <c r="E46" s="1">
        <f t="shared" si="4"/>
        <v>64.103158413016487</v>
      </c>
    </row>
    <row r="47" spans="1:6" ht="17" x14ac:dyDescent="0.2">
      <c r="B47" s="11" t="s">
        <v>109</v>
      </c>
      <c r="C47" s="342">
        <v>2.019481503339627E-2</v>
      </c>
      <c r="D47" s="1">
        <f t="shared" si="5"/>
        <v>4.0389630066792543</v>
      </c>
      <c r="E47" s="1">
        <f t="shared" si="4"/>
        <v>28.272741046754781</v>
      </c>
    </row>
    <row r="48" spans="1:6" ht="17" x14ac:dyDescent="0.2">
      <c r="B48" s="11" t="s">
        <v>111</v>
      </c>
      <c r="C48" s="342">
        <v>2.0560497203855613E-2</v>
      </c>
      <c r="D48" s="1">
        <f t="shared" si="5"/>
        <v>4.1120994407711224</v>
      </c>
      <c r="E48" s="1">
        <f t="shared" si="4"/>
        <v>28.784696085397858</v>
      </c>
    </row>
    <row r="49" spans="1:6" ht="17" x14ac:dyDescent="0.2">
      <c r="B49" s="11" t="s">
        <v>114</v>
      </c>
      <c r="C49" s="342">
        <v>1.772181875645604E-2</v>
      </c>
      <c r="D49" s="1">
        <f t="shared" si="5"/>
        <v>3.5443637512912081</v>
      </c>
      <c r="E49" s="1">
        <f t="shared" si="4"/>
        <v>24.810546259038457</v>
      </c>
    </row>
    <row r="50" spans="1:6" ht="17" x14ac:dyDescent="0.2">
      <c r="B50" s="11" t="s">
        <v>117</v>
      </c>
      <c r="C50" s="342">
        <v>7.018785236884495E-2</v>
      </c>
      <c r="D50" s="1">
        <f t="shared" si="5"/>
        <v>14.037570473768991</v>
      </c>
      <c r="E50" s="1">
        <f t="shared" si="4"/>
        <v>98.262993316382932</v>
      </c>
    </row>
    <row r="51" spans="1:6" ht="17" x14ac:dyDescent="0.2">
      <c r="B51" s="11" t="s">
        <v>119</v>
      </c>
      <c r="C51" s="342">
        <v>9.5944736748873077E-2</v>
      </c>
      <c r="D51" s="1">
        <f t="shared" si="5"/>
        <v>19.188947349774615</v>
      </c>
      <c r="E51" s="1">
        <f t="shared" si="4"/>
        <v>134.3226314484223</v>
      </c>
    </row>
    <row r="52" spans="1:6" ht="17" x14ac:dyDescent="0.2">
      <c r="B52" s="11" t="s">
        <v>121</v>
      </c>
      <c r="C52" s="342">
        <v>0.21388130862220195</v>
      </c>
      <c r="D52" s="1">
        <f t="shared" si="5"/>
        <v>42.776261724440388</v>
      </c>
      <c r="E52" s="1">
        <f t="shared" si="4"/>
        <v>299.43383207108275</v>
      </c>
    </row>
    <row r="53" spans="1:6" ht="17" x14ac:dyDescent="0.2">
      <c r="B53" s="1" t="s">
        <v>124</v>
      </c>
      <c r="C53" s="87">
        <v>1.1705878785865603E-2</v>
      </c>
      <c r="D53" s="1">
        <f t="shared" si="5"/>
        <v>2.3411757571731204</v>
      </c>
      <c r="E53" s="1">
        <f t="shared" si="4"/>
        <v>16.388230300211845</v>
      </c>
    </row>
    <row r="54" spans="1:6" ht="17" x14ac:dyDescent="0.2">
      <c r="B54" s="11" t="s">
        <v>126</v>
      </c>
      <c r="C54" s="87">
        <v>5.4354866820293855E-2</v>
      </c>
      <c r="D54" s="1">
        <f t="shared" si="5"/>
        <v>10.870973364058772</v>
      </c>
      <c r="E54" s="1">
        <f t="shared" si="4"/>
        <v>76.096813548411404</v>
      </c>
    </row>
    <row r="55" spans="1:6" x14ac:dyDescent="0.2">
      <c r="A55" s="9">
        <v>10</v>
      </c>
      <c r="B55" s="11"/>
    </row>
    <row r="56" spans="1:6" s="4" customFormat="1" ht="17" x14ac:dyDescent="0.2">
      <c r="A56" s="12" t="s">
        <v>400</v>
      </c>
      <c r="D56" s="4">
        <v>250</v>
      </c>
      <c r="E56" s="4">
        <f>D56*$E$6</f>
        <v>1750</v>
      </c>
      <c r="F56" s="4">
        <v>153</v>
      </c>
    </row>
    <row r="57" spans="1:6" ht="17" x14ac:dyDescent="0.2">
      <c r="B57" s="1" t="s">
        <v>129</v>
      </c>
      <c r="D57" s="1">
        <v>100</v>
      </c>
      <c r="E57" s="1">
        <f t="shared" ref="E57:E65" si="6">D57*$E$6</f>
        <v>700</v>
      </c>
    </row>
    <row r="58" spans="1:6" ht="17" x14ac:dyDescent="0.2">
      <c r="B58" s="1" t="s">
        <v>132</v>
      </c>
      <c r="D58" s="1">
        <v>80</v>
      </c>
      <c r="E58" s="1">
        <f t="shared" si="6"/>
        <v>560</v>
      </c>
    </row>
    <row r="59" spans="1:6" ht="17" x14ac:dyDescent="0.2">
      <c r="B59" s="1" t="s">
        <v>135</v>
      </c>
      <c r="D59" s="1">
        <v>10</v>
      </c>
      <c r="E59" s="1">
        <f t="shared" si="6"/>
        <v>70</v>
      </c>
    </row>
    <row r="60" spans="1:6" ht="17" x14ac:dyDescent="0.2">
      <c r="B60" s="1" t="s">
        <v>138</v>
      </c>
      <c r="D60" s="1">
        <v>10</v>
      </c>
      <c r="E60" s="1">
        <f t="shared" si="6"/>
        <v>70</v>
      </c>
    </row>
    <row r="61" spans="1:6" ht="19" customHeight="1" x14ac:dyDescent="0.2">
      <c r="B61" s="1" t="s">
        <v>141</v>
      </c>
      <c r="D61" s="1">
        <v>10</v>
      </c>
      <c r="E61" s="1">
        <f t="shared" si="6"/>
        <v>70</v>
      </c>
    </row>
    <row r="62" spans="1:6" ht="17" x14ac:dyDescent="0.2">
      <c r="B62" s="1" t="s">
        <v>144</v>
      </c>
      <c r="D62" s="1">
        <v>10</v>
      </c>
      <c r="E62" s="1">
        <f t="shared" si="6"/>
        <v>70</v>
      </c>
    </row>
    <row r="63" spans="1:6" ht="34" x14ac:dyDescent="0.2">
      <c r="B63" s="1" t="s">
        <v>401</v>
      </c>
      <c r="D63" s="1">
        <v>10</v>
      </c>
      <c r="E63" s="1">
        <f t="shared" si="6"/>
        <v>70</v>
      </c>
    </row>
    <row r="64" spans="1:6" ht="34" x14ac:dyDescent="0.2">
      <c r="B64" s="1" t="s">
        <v>402</v>
      </c>
      <c r="D64" s="1">
        <v>10</v>
      </c>
      <c r="E64" s="1">
        <f t="shared" si="6"/>
        <v>70</v>
      </c>
    </row>
    <row r="65" spans="1:13" ht="17" x14ac:dyDescent="0.2">
      <c r="B65" s="1" t="s">
        <v>403</v>
      </c>
      <c r="D65" s="1">
        <v>10</v>
      </c>
      <c r="E65" s="1">
        <f t="shared" si="6"/>
        <v>70</v>
      </c>
    </row>
    <row r="66" spans="1:13" ht="17" thickBot="1" x14ac:dyDescent="0.25">
      <c r="A66" s="9">
        <v>9</v>
      </c>
      <c r="H66" s="93"/>
      <c r="I66" s="93"/>
      <c r="J66" s="93"/>
      <c r="K66" s="93"/>
      <c r="L66" s="93"/>
    </row>
    <row r="67" spans="1:13" s="4" customFormat="1" ht="23" customHeight="1" x14ac:dyDescent="0.2">
      <c r="A67" s="12" t="s">
        <v>156</v>
      </c>
      <c r="B67" s="12" t="s">
        <v>157</v>
      </c>
      <c r="D67" s="14">
        <v>3.5</v>
      </c>
      <c r="E67" s="14">
        <v>24.5</v>
      </c>
      <c r="F67" s="4">
        <v>15</v>
      </c>
      <c r="G67" s="91"/>
      <c r="H67" s="405" t="s">
        <v>445</v>
      </c>
      <c r="I67" s="406"/>
      <c r="J67" s="406"/>
      <c r="K67" s="406"/>
      <c r="L67" s="407"/>
      <c r="M67" s="92"/>
    </row>
    <row r="68" spans="1:13" ht="23" customHeight="1" x14ac:dyDescent="0.2">
      <c r="B68" s="1" t="s">
        <v>158</v>
      </c>
      <c r="D68" s="15">
        <v>3.5</v>
      </c>
      <c r="E68" s="15">
        <v>24.5</v>
      </c>
      <c r="G68" s="86"/>
      <c r="H68" s="410" t="s">
        <v>446</v>
      </c>
      <c r="I68" s="409"/>
      <c r="J68" s="409"/>
      <c r="K68" s="95">
        <f>497-124.25-124.25</f>
        <v>248.5</v>
      </c>
      <c r="L68" s="97"/>
      <c r="M68" s="65"/>
    </row>
    <row r="69" spans="1:13" ht="21" customHeight="1" x14ac:dyDescent="0.2">
      <c r="A69" s="9">
        <v>1</v>
      </c>
      <c r="D69" s="15"/>
      <c r="E69" s="15"/>
      <c r="G69" s="86"/>
      <c r="H69" s="432" t="s">
        <v>447</v>
      </c>
      <c r="I69" s="433"/>
      <c r="J69" s="433"/>
      <c r="K69" s="433"/>
      <c r="L69" s="434"/>
      <c r="M69" s="65"/>
    </row>
    <row r="70" spans="1:13" s="4" customFormat="1" ht="17" x14ac:dyDescent="0.2">
      <c r="A70" s="12"/>
      <c r="B70" s="12" t="s">
        <v>161</v>
      </c>
      <c r="D70" s="14">
        <v>3.5</v>
      </c>
      <c r="E70" s="14">
        <v>24.5</v>
      </c>
      <c r="F70" s="4">
        <v>15</v>
      </c>
      <c r="G70" s="91"/>
      <c r="H70" s="98"/>
      <c r="I70" s="112"/>
      <c r="J70" s="111" t="s">
        <v>448</v>
      </c>
      <c r="K70" s="112" t="s">
        <v>449</v>
      </c>
      <c r="L70" s="97"/>
      <c r="M70" s="92"/>
    </row>
    <row r="71" spans="1:13" ht="17" x14ac:dyDescent="0.2">
      <c r="B71" s="1" t="s">
        <v>162</v>
      </c>
      <c r="D71" s="15">
        <v>3.5</v>
      </c>
      <c r="E71" s="15">
        <v>24.5</v>
      </c>
      <c r="G71" s="86"/>
      <c r="H71" s="98"/>
      <c r="I71" s="113" t="s">
        <v>450</v>
      </c>
      <c r="J71" s="111" t="s">
        <v>451</v>
      </c>
      <c r="K71" s="112">
        <v>60</v>
      </c>
      <c r="L71" s="97"/>
      <c r="M71" s="65"/>
    </row>
    <row r="72" spans="1:13" ht="17" x14ac:dyDescent="0.2">
      <c r="A72" s="9">
        <v>1</v>
      </c>
      <c r="D72" s="15"/>
      <c r="E72" s="15"/>
      <c r="G72" s="86"/>
      <c r="H72" s="98"/>
      <c r="I72" s="113" t="s">
        <v>452</v>
      </c>
      <c r="J72" s="111" t="s">
        <v>411</v>
      </c>
      <c r="K72" s="112">
        <v>50</v>
      </c>
      <c r="L72" s="97"/>
      <c r="M72" s="65"/>
    </row>
    <row r="73" spans="1:13" s="4" customFormat="1" ht="17" x14ac:dyDescent="0.2">
      <c r="A73" s="12"/>
      <c r="B73" s="12" t="s">
        <v>165</v>
      </c>
      <c r="D73" s="14">
        <v>14.5</v>
      </c>
      <c r="E73" s="14">
        <v>101.5</v>
      </c>
      <c r="F73" s="4">
        <v>62</v>
      </c>
      <c r="G73" s="91"/>
      <c r="H73" s="98"/>
      <c r="I73" s="96"/>
      <c r="J73" s="96"/>
      <c r="K73" s="96"/>
      <c r="L73" s="97"/>
      <c r="M73" s="92"/>
    </row>
    <row r="74" spans="1:13" ht="17" customHeight="1" x14ac:dyDescent="0.2">
      <c r="B74" s="1" t="s">
        <v>166</v>
      </c>
      <c r="D74" s="15">
        <v>14.5</v>
      </c>
      <c r="E74" s="15">
        <v>101.5</v>
      </c>
      <c r="G74" s="86"/>
      <c r="H74" s="98"/>
      <c r="I74" s="411" t="s">
        <v>406</v>
      </c>
      <c r="J74" s="411"/>
      <c r="K74" s="411"/>
      <c r="L74" s="101"/>
      <c r="M74" s="65"/>
    </row>
    <row r="75" spans="1:13" ht="19" customHeight="1" x14ac:dyDescent="0.2">
      <c r="A75" s="9">
        <v>1</v>
      </c>
      <c r="D75" s="15"/>
      <c r="E75" s="15"/>
      <c r="G75" s="86"/>
      <c r="H75" s="98"/>
      <c r="I75" s="408" t="s">
        <v>407</v>
      </c>
      <c r="J75" s="408"/>
      <c r="K75" s="106" t="s">
        <v>408</v>
      </c>
      <c r="L75" s="97"/>
      <c r="M75" s="65"/>
    </row>
    <row r="76" spans="1:13" s="4" customFormat="1" ht="17" x14ac:dyDescent="0.2">
      <c r="A76" s="12"/>
      <c r="B76" s="12" t="s">
        <v>169</v>
      </c>
      <c r="D76" s="4">
        <v>13</v>
      </c>
      <c r="E76" s="4">
        <v>91</v>
      </c>
      <c r="F76" s="4">
        <v>19</v>
      </c>
      <c r="G76" s="91"/>
      <c r="H76" s="98"/>
      <c r="I76" s="109" t="s">
        <v>157</v>
      </c>
      <c r="J76" s="107">
        <f>49</f>
        <v>49</v>
      </c>
      <c r="K76" s="96">
        <f>J76/J80*100</f>
        <v>9.8591549295774641</v>
      </c>
      <c r="L76" s="102"/>
      <c r="M76" s="92"/>
    </row>
    <row r="77" spans="1:13" ht="17" x14ac:dyDescent="0.2">
      <c r="A77" s="1"/>
      <c r="B77" s="1" t="s">
        <v>170</v>
      </c>
      <c r="D77" s="1">
        <v>13</v>
      </c>
      <c r="E77" s="1">
        <v>91</v>
      </c>
      <c r="G77" s="86"/>
      <c r="H77" s="98"/>
      <c r="I77" s="110" t="s">
        <v>161</v>
      </c>
      <c r="J77" s="108">
        <f>49</f>
        <v>49</v>
      </c>
      <c r="K77" s="96">
        <f>J77/J80*100</f>
        <v>9.8591549295774641</v>
      </c>
      <c r="L77" s="102"/>
      <c r="M77" s="65"/>
    </row>
    <row r="78" spans="1:13" ht="17" x14ac:dyDescent="0.2">
      <c r="A78" s="9">
        <v>1</v>
      </c>
      <c r="D78" s="15"/>
      <c r="E78" s="15"/>
      <c r="G78" s="86"/>
      <c r="H78" s="98"/>
      <c r="I78" s="110" t="s">
        <v>165</v>
      </c>
      <c r="J78" s="108">
        <v>203</v>
      </c>
      <c r="K78" s="96">
        <f>J78/J80*100</f>
        <v>40.845070422535215</v>
      </c>
      <c r="L78" s="102"/>
      <c r="M78" s="65"/>
    </row>
    <row r="79" spans="1:13" s="4" customFormat="1" ht="17" x14ac:dyDescent="0.2">
      <c r="A79" s="12"/>
      <c r="B79" s="12" t="s">
        <v>409</v>
      </c>
      <c r="D79" s="14">
        <v>14</v>
      </c>
      <c r="E79" s="14">
        <v>98</v>
      </c>
      <c r="F79" s="4">
        <v>40</v>
      </c>
      <c r="G79" s="91"/>
      <c r="H79" s="98"/>
      <c r="I79" s="110" t="s">
        <v>409</v>
      </c>
      <c r="J79" s="108">
        <f>196</f>
        <v>196</v>
      </c>
      <c r="K79" s="96">
        <f>J79/J80*100</f>
        <v>39.436619718309856</v>
      </c>
      <c r="L79" s="97"/>
      <c r="M79" s="92"/>
    </row>
    <row r="80" spans="1:13" ht="17" customHeight="1" x14ac:dyDescent="0.2">
      <c r="B80" s="1" t="s">
        <v>174</v>
      </c>
      <c r="D80" s="15">
        <v>4.666666666666667</v>
      </c>
      <c r="E80" s="15">
        <v>32.666666666666671</v>
      </c>
      <c r="G80" s="86"/>
      <c r="H80" s="98"/>
      <c r="I80" s="291" t="s">
        <v>410</v>
      </c>
      <c r="J80" s="292">
        <f>SUM(J76:J79)</f>
        <v>497</v>
      </c>
      <c r="K80" s="289">
        <f>SUM(K76:K79)</f>
        <v>100</v>
      </c>
      <c r="L80" s="104"/>
      <c r="M80" s="65"/>
    </row>
    <row r="81" spans="1:13" ht="17" x14ac:dyDescent="0.2">
      <c r="B81" s="1" t="s">
        <v>177</v>
      </c>
      <c r="D81" s="15">
        <v>4.666666666666667</v>
      </c>
      <c r="E81" s="15">
        <v>32.666666666666671</v>
      </c>
      <c r="G81" s="86"/>
      <c r="H81" s="98"/>
      <c r="I81" s="96"/>
      <c r="J81" s="96"/>
      <c r="K81" s="96"/>
      <c r="L81" s="97"/>
      <c r="M81" s="65"/>
    </row>
    <row r="82" spans="1:13" ht="19" customHeight="1" x14ac:dyDescent="0.2">
      <c r="B82" s="1" t="s">
        <v>179</v>
      </c>
      <c r="D82" s="15">
        <v>4.666666666666667</v>
      </c>
      <c r="E82" s="15">
        <v>32.666666666666671</v>
      </c>
      <c r="G82" s="86"/>
      <c r="H82" s="98"/>
      <c r="I82" s="411" t="s">
        <v>453</v>
      </c>
      <c r="J82" s="411"/>
      <c r="K82" s="411"/>
      <c r="L82" s="97"/>
      <c r="M82" s="65"/>
    </row>
    <row r="83" spans="1:13" ht="19" customHeight="1" x14ac:dyDescent="0.2">
      <c r="A83" s="9">
        <v>3</v>
      </c>
      <c r="D83" s="15"/>
      <c r="E83" s="15"/>
      <c r="G83" s="86"/>
      <c r="H83" s="98"/>
      <c r="I83" s="408" t="s">
        <v>407</v>
      </c>
      <c r="J83" s="408"/>
      <c r="K83" s="106" t="s">
        <v>408</v>
      </c>
      <c r="L83" s="97"/>
      <c r="M83" s="65"/>
    </row>
    <row r="84" spans="1:13" s="4" customFormat="1" ht="21" customHeight="1" x14ac:dyDescent="0.2">
      <c r="A84" s="12"/>
      <c r="B84" s="12" t="s">
        <v>411</v>
      </c>
      <c r="D84" s="14">
        <f>E84/7</f>
        <v>57.142857142857146</v>
      </c>
      <c r="E84" s="14">
        <f>350+50</f>
        <v>400</v>
      </c>
      <c r="F84" s="4">
        <v>172</v>
      </c>
      <c r="G84" s="91"/>
      <c r="H84" s="98"/>
      <c r="I84" s="109" t="s">
        <v>157</v>
      </c>
      <c r="J84" s="107">
        <f>J88*K84/100</f>
        <v>24.5</v>
      </c>
      <c r="K84" s="96">
        <v>9.8591549295774641</v>
      </c>
      <c r="L84" s="97"/>
      <c r="M84" s="92"/>
    </row>
    <row r="85" spans="1:13" ht="17" x14ac:dyDescent="0.2">
      <c r="B85" s="1" t="s">
        <v>183</v>
      </c>
      <c r="D85" s="15">
        <f t="shared" ref="D85:D90" si="7">$D$84/6</f>
        <v>9.5238095238095237</v>
      </c>
      <c r="E85" s="15">
        <f t="shared" ref="E85:E90" si="8">D85*$E$6</f>
        <v>66.666666666666671</v>
      </c>
      <c r="G85" s="86"/>
      <c r="H85" s="98"/>
      <c r="I85" s="110" t="s">
        <v>161</v>
      </c>
      <c r="J85" s="108">
        <f>J88*K85/100</f>
        <v>24.5</v>
      </c>
      <c r="K85" s="96">
        <v>9.8591549295774641</v>
      </c>
      <c r="L85" s="97"/>
      <c r="M85" s="65"/>
    </row>
    <row r="86" spans="1:13" ht="17" x14ac:dyDescent="0.2">
      <c r="B86" s="1" t="s">
        <v>186</v>
      </c>
      <c r="D86" s="15">
        <f t="shared" si="7"/>
        <v>9.5238095238095237</v>
      </c>
      <c r="E86" s="15">
        <f t="shared" si="8"/>
        <v>66.666666666666671</v>
      </c>
      <c r="G86" s="86"/>
      <c r="H86" s="98"/>
      <c r="I86" s="110" t="s">
        <v>165</v>
      </c>
      <c r="J86" s="108">
        <f>J88*K86/100</f>
        <v>101.50000000000001</v>
      </c>
      <c r="K86" s="96">
        <v>40.845070422535215</v>
      </c>
      <c r="L86" s="97"/>
      <c r="M86" s="65"/>
    </row>
    <row r="87" spans="1:13" ht="17" x14ac:dyDescent="0.2">
      <c r="B87" s="1" t="s">
        <v>189</v>
      </c>
      <c r="D87" s="15">
        <f t="shared" si="7"/>
        <v>9.5238095238095237</v>
      </c>
      <c r="E87" s="15">
        <f t="shared" si="8"/>
        <v>66.666666666666671</v>
      </c>
      <c r="G87" s="86"/>
      <c r="H87" s="98"/>
      <c r="I87" s="110" t="s">
        <v>409</v>
      </c>
      <c r="J87" s="108">
        <f>J88*K87/100</f>
        <v>98</v>
      </c>
      <c r="K87" s="96">
        <v>39.436619718309856</v>
      </c>
      <c r="L87" s="97"/>
      <c r="M87" s="65"/>
    </row>
    <row r="88" spans="1:13" ht="17" x14ac:dyDescent="0.2">
      <c r="B88" s="1" t="s">
        <v>192</v>
      </c>
      <c r="D88" s="15">
        <f t="shared" si="7"/>
        <v>9.5238095238095237</v>
      </c>
      <c r="E88" s="15">
        <f t="shared" si="8"/>
        <v>66.666666666666671</v>
      </c>
      <c r="G88" s="86"/>
      <c r="H88" s="98"/>
      <c r="I88" s="109" t="s">
        <v>410</v>
      </c>
      <c r="J88" s="292">
        <v>248.5</v>
      </c>
      <c r="K88" s="289">
        <v>100</v>
      </c>
      <c r="L88" s="97"/>
      <c r="M88" s="65"/>
    </row>
    <row r="89" spans="1:13" ht="18" thickBot="1" x14ac:dyDescent="0.25">
      <c r="B89" s="1" t="s">
        <v>622</v>
      </c>
      <c r="D89" s="15">
        <f t="shared" si="7"/>
        <v>9.5238095238095237</v>
      </c>
      <c r="E89" s="15">
        <f t="shared" si="8"/>
        <v>66.666666666666671</v>
      </c>
      <c r="G89" s="86"/>
      <c r="H89" s="105"/>
      <c r="I89" s="99"/>
      <c r="J89" s="99"/>
      <c r="K89" s="99"/>
      <c r="L89" s="100"/>
      <c r="M89" s="65"/>
    </row>
    <row r="90" spans="1:13" ht="17" x14ac:dyDescent="0.2">
      <c r="A90" s="1"/>
      <c r="B90" s="1" t="s">
        <v>623</v>
      </c>
      <c r="D90" s="15">
        <f t="shared" si="7"/>
        <v>9.5238095238095237</v>
      </c>
      <c r="E90" s="15">
        <f t="shared" si="8"/>
        <v>66.666666666666671</v>
      </c>
      <c r="H90" s="94"/>
      <c r="I90" s="94"/>
      <c r="J90" s="94"/>
      <c r="K90" s="94"/>
      <c r="L90" s="94"/>
    </row>
    <row r="91" spans="1:13" x14ac:dyDescent="0.2">
      <c r="A91" s="9">
        <v>6</v>
      </c>
      <c r="D91" s="15"/>
      <c r="E91" s="15"/>
    </row>
    <row r="92" spans="1:13" s="4" customFormat="1" ht="17" x14ac:dyDescent="0.2">
      <c r="A92" s="12"/>
      <c r="B92" s="12" t="s">
        <v>200</v>
      </c>
      <c r="D92" s="14">
        <f>E92/7</f>
        <v>33.571428571428569</v>
      </c>
      <c r="E92" s="14">
        <f>175+60</f>
        <v>235</v>
      </c>
      <c r="F92" s="4">
        <v>112</v>
      </c>
    </row>
    <row r="93" spans="1:13" ht="17" x14ac:dyDescent="0.2">
      <c r="B93" s="1" t="s">
        <v>201</v>
      </c>
      <c r="D93" s="15">
        <v>16.785714285714285</v>
      </c>
      <c r="E93" s="15">
        <v>117.5</v>
      </c>
      <c r="G93" s="230"/>
    </row>
    <row r="94" spans="1:13" ht="17" x14ac:dyDescent="0.2">
      <c r="B94" s="1" t="s">
        <v>203</v>
      </c>
      <c r="D94" s="15">
        <v>16.785714285714285</v>
      </c>
      <c r="E94" s="15">
        <v>117.5</v>
      </c>
    </row>
    <row r="95" spans="1:13" x14ac:dyDescent="0.2">
      <c r="A95" s="9">
        <v>2</v>
      </c>
    </row>
    <row r="96" spans="1:13" s="4" customFormat="1" ht="17" x14ac:dyDescent="0.2">
      <c r="A96" s="12"/>
      <c r="B96" s="12" t="s">
        <v>205</v>
      </c>
    </row>
    <row r="97" spans="1:6" s="4" customFormat="1" ht="17" x14ac:dyDescent="0.2">
      <c r="A97" s="12"/>
      <c r="B97" s="12" t="s">
        <v>206</v>
      </c>
      <c r="F97" s="4">
        <v>142</v>
      </c>
    </row>
    <row r="98" spans="1:6" ht="17" x14ac:dyDescent="0.2">
      <c r="A98" s="1"/>
      <c r="B98" s="1" t="s">
        <v>207</v>
      </c>
      <c r="D98" s="1">
        <v>25</v>
      </c>
      <c r="E98" s="1">
        <f>D98*E6</f>
        <v>175</v>
      </c>
    </row>
    <row r="99" spans="1:6" x14ac:dyDescent="0.2">
      <c r="A99" s="9">
        <v>1</v>
      </c>
    </row>
    <row r="100" spans="1:6" s="4" customFormat="1" ht="17" x14ac:dyDescent="0.2">
      <c r="B100" s="12" t="s">
        <v>412</v>
      </c>
      <c r="D100" s="4">
        <v>25</v>
      </c>
      <c r="E100" s="8">
        <f>D100*7</f>
        <v>175</v>
      </c>
      <c r="F100" s="8">
        <v>149</v>
      </c>
    </row>
    <row r="101" spans="1:6" ht="17" x14ac:dyDescent="0.2">
      <c r="B101" s="1" t="s">
        <v>210</v>
      </c>
      <c r="D101" s="7">
        <f>D100/2</f>
        <v>12.5</v>
      </c>
      <c r="E101" s="1">
        <f>D101*7</f>
        <v>87.5</v>
      </c>
    </row>
    <row r="102" spans="1:6" ht="17" x14ac:dyDescent="0.2">
      <c r="B102" s="1" t="s">
        <v>213</v>
      </c>
      <c r="D102" s="7">
        <f>D100/2</f>
        <v>12.5</v>
      </c>
      <c r="E102" s="1">
        <f>D102*7</f>
        <v>87.5</v>
      </c>
      <c r="F102" s="7"/>
    </row>
    <row r="103" spans="1:6" x14ac:dyDescent="0.2">
      <c r="A103" s="9">
        <v>2</v>
      </c>
      <c r="D103" s="7"/>
      <c r="E103" s="7"/>
      <c r="F103" s="7"/>
    </row>
    <row r="104" spans="1:6" s="4" customFormat="1" ht="17" customHeight="1" x14ac:dyDescent="0.2">
      <c r="A104" s="12" t="s">
        <v>413</v>
      </c>
      <c r="D104" s="8">
        <v>6.8</v>
      </c>
      <c r="E104" s="8">
        <f>D104*7</f>
        <v>47.6</v>
      </c>
      <c r="F104" s="8">
        <v>60</v>
      </c>
    </row>
    <row r="105" spans="1:6" ht="17" x14ac:dyDescent="0.2">
      <c r="B105" s="1" t="s">
        <v>216</v>
      </c>
      <c r="D105" s="1">
        <f>D104</f>
        <v>6.8</v>
      </c>
      <c r="E105" s="1">
        <f>D105*7</f>
        <v>47.6</v>
      </c>
    </row>
    <row r="106" spans="1:6" x14ac:dyDescent="0.2">
      <c r="A106" s="9">
        <v>1</v>
      </c>
    </row>
    <row r="107" spans="1:6" s="4" customFormat="1" ht="17" x14ac:dyDescent="0.2">
      <c r="A107" s="12"/>
      <c r="B107" s="12" t="s">
        <v>219</v>
      </c>
      <c r="D107" s="8">
        <v>40</v>
      </c>
      <c r="E107" s="8">
        <f>D107*7</f>
        <v>280</v>
      </c>
      <c r="F107" s="8">
        <v>354</v>
      </c>
    </row>
    <row r="108" spans="1:6" ht="17" x14ac:dyDescent="0.2">
      <c r="B108" s="1" t="s">
        <v>220</v>
      </c>
      <c r="D108" s="1">
        <f>$D$107/3</f>
        <v>13.333333333333334</v>
      </c>
      <c r="E108" s="7">
        <f>D108*7</f>
        <v>93.333333333333343</v>
      </c>
    </row>
    <row r="109" spans="1:6" ht="17" x14ac:dyDescent="0.2">
      <c r="A109" s="1"/>
      <c r="B109" s="1" t="s">
        <v>223</v>
      </c>
      <c r="D109" s="1">
        <f>$D$107/3</f>
        <v>13.333333333333334</v>
      </c>
      <c r="E109" s="1">
        <f>D109*7</f>
        <v>93.333333333333343</v>
      </c>
      <c r="F109" s="7"/>
    </row>
    <row r="110" spans="1:6" ht="17" x14ac:dyDescent="0.2">
      <c r="A110" s="1"/>
      <c r="B110" s="1" t="s">
        <v>226</v>
      </c>
      <c r="D110" s="1">
        <f>$D$107/3</f>
        <v>13.333333333333334</v>
      </c>
      <c r="E110" s="1">
        <f>D110*7</f>
        <v>93.333333333333343</v>
      </c>
      <c r="F110" s="7"/>
    </row>
    <row r="111" spans="1:6" x14ac:dyDescent="0.2">
      <c r="A111" s="9">
        <v>3</v>
      </c>
      <c r="F111" s="7"/>
    </row>
    <row r="112" spans="1:6" s="4" customFormat="1" ht="17" x14ac:dyDescent="0.2">
      <c r="A112" s="12"/>
      <c r="B112" s="12" t="s">
        <v>229</v>
      </c>
      <c r="D112" s="8"/>
      <c r="E112" s="8"/>
      <c r="F112" s="8">
        <v>36</v>
      </c>
    </row>
    <row r="113" spans="1:6" ht="17" x14ac:dyDescent="0.2">
      <c r="B113" s="1" t="s">
        <v>230</v>
      </c>
      <c r="D113" s="7">
        <v>5</v>
      </c>
      <c r="E113" s="7">
        <f>D113*7</f>
        <v>35</v>
      </c>
    </row>
    <row r="114" spans="1:6" x14ac:dyDescent="0.2">
      <c r="A114" s="9">
        <v>1</v>
      </c>
      <c r="D114" s="7"/>
      <c r="E114" s="7"/>
      <c r="F114" s="7"/>
    </row>
    <row r="115" spans="1:6" s="4" customFormat="1" ht="17" x14ac:dyDescent="0.2">
      <c r="A115" s="12" t="s">
        <v>414</v>
      </c>
      <c r="D115" s="4">
        <f>31</f>
        <v>31</v>
      </c>
      <c r="E115" s="4">
        <f>D115*E6</f>
        <v>217</v>
      </c>
      <c r="F115" s="4">
        <v>120</v>
      </c>
    </row>
    <row r="116" spans="1:6" ht="17" x14ac:dyDescent="0.2">
      <c r="A116" s="20"/>
      <c r="B116" s="1" t="s">
        <v>234</v>
      </c>
      <c r="D116" s="1">
        <f>31/3</f>
        <v>10.333333333333334</v>
      </c>
      <c r="E116" s="1">
        <f>D116*7</f>
        <v>72.333333333333343</v>
      </c>
    </row>
    <row r="117" spans="1:6" ht="17" x14ac:dyDescent="0.2">
      <c r="B117" s="1" t="s">
        <v>237</v>
      </c>
      <c r="D117" s="1">
        <f>31/3</f>
        <v>10.333333333333334</v>
      </c>
      <c r="E117" s="1">
        <f>D117*7</f>
        <v>72.333333333333343</v>
      </c>
    </row>
    <row r="118" spans="1:6" ht="17" x14ac:dyDescent="0.2">
      <c r="B118" s="1" t="s">
        <v>240</v>
      </c>
      <c r="D118" s="1">
        <f>31/3</f>
        <v>10.333333333333334</v>
      </c>
      <c r="E118" s="1">
        <f>D118*7</f>
        <v>72.333333333333343</v>
      </c>
    </row>
    <row r="119" spans="1:6" x14ac:dyDescent="0.2">
      <c r="A119" s="9">
        <v>3</v>
      </c>
      <c r="B119" s="15"/>
    </row>
    <row r="120" spans="1:6" s="4" customFormat="1" ht="17" x14ac:dyDescent="0.2">
      <c r="A120" s="12" t="s">
        <v>613</v>
      </c>
      <c r="D120" s="4">
        <v>1500</v>
      </c>
      <c r="E120" s="4">
        <f>D120*E6</f>
        <v>10500</v>
      </c>
    </row>
    <row r="121" spans="1:6" ht="17" x14ac:dyDescent="0.2">
      <c r="B121" s="1" t="s">
        <v>415</v>
      </c>
      <c r="D121" s="1">
        <v>1100</v>
      </c>
      <c r="E121" s="1">
        <f>D121*7</f>
        <v>7700</v>
      </c>
    </row>
    <row r="122" spans="1:6" ht="17" x14ac:dyDescent="0.2">
      <c r="B122" s="1" t="s">
        <v>416</v>
      </c>
      <c r="D122" s="1">
        <v>200</v>
      </c>
      <c r="E122" s="1">
        <f>D122*7</f>
        <v>1400</v>
      </c>
    </row>
    <row r="123" spans="1:6" ht="17" x14ac:dyDescent="0.2">
      <c r="B123" s="1" t="s">
        <v>417</v>
      </c>
      <c r="D123" s="1">
        <v>200</v>
      </c>
      <c r="E123" s="1">
        <f>D123*7</f>
        <v>1400</v>
      </c>
    </row>
    <row r="124" spans="1:6" ht="17" x14ac:dyDescent="0.2">
      <c r="B124" s="1" t="s">
        <v>439</v>
      </c>
      <c r="D124" s="1">
        <f>E124/7</f>
        <v>47.142857142857146</v>
      </c>
      <c r="E124" s="1">
        <v>330</v>
      </c>
    </row>
    <row r="125" spans="1:6" ht="17" x14ac:dyDescent="0.2">
      <c r="B125" s="1" t="s">
        <v>440</v>
      </c>
      <c r="D125" s="1">
        <f>E125/7</f>
        <v>35.714285714285715</v>
      </c>
      <c r="E125" s="1">
        <v>250</v>
      </c>
    </row>
    <row r="126" spans="1:6" x14ac:dyDescent="0.2">
      <c r="A126" s="9">
        <v>5</v>
      </c>
    </row>
    <row r="127" spans="1:6" s="4" customFormat="1" ht="17" x14ac:dyDescent="0.2">
      <c r="A127" s="12" t="s">
        <v>614</v>
      </c>
      <c r="D127" s="4">
        <v>1500</v>
      </c>
      <c r="E127" s="4">
        <f>D127*E6</f>
        <v>10500</v>
      </c>
    </row>
    <row r="128" spans="1:6" ht="22" customHeight="1" x14ac:dyDescent="0.2">
      <c r="B128" s="1" t="s">
        <v>415</v>
      </c>
      <c r="D128" s="1">
        <f>D127-D129</f>
        <v>1100</v>
      </c>
      <c r="E128" s="1">
        <f>D128*E6</f>
        <v>7700</v>
      </c>
    </row>
    <row r="129" spans="1:6" ht="17" x14ac:dyDescent="0.2">
      <c r="B129" s="1" t="s">
        <v>419</v>
      </c>
      <c r="D129" s="1">
        <f>200*2</f>
        <v>400</v>
      </c>
      <c r="E129" s="1">
        <f>D129*E6</f>
        <v>2800</v>
      </c>
    </row>
    <row r="130" spans="1:6" ht="17" x14ac:dyDescent="0.2">
      <c r="B130" s="1" t="s">
        <v>420</v>
      </c>
      <c r="D130" s="1">
        <f>E130/7</f>
        <v>28.571428571428573</v>
      </c>
      <c r="E130" s="1">
        <v>200</v>
      </c>
    </row>
    <row r="131" spans="1:6" ht="17" x14ac:dyDescent="0.2">
      <c r="B131" s="1" t="s">
        <v>421</v>
      </c>
      <c r="D131" s="1">
        <f>E131/7</f>
        <v>28.571428571428573</v>
      </c>
      <c r="E131" s="1">
        <v>200</v>
      </c>
    </row>
    <row r="132" spans="1:6" x14ac:dyDescent="0.2">
      <c r="A132" s="9">
        <v>4</v>
      </c>
    </row>
    <row r="134" spans="1:6" s="4" customFormat="1" ht="17" x14ac:dyDescent="0.2">
      <c r="A134" s="12" t="s">
        <v>422</v>
      </c>
      <c r="F134" s="12" t="s">
        <v>423</v>
      </c>
    </row>
    <row r="135" spans="1:6" x14ac:dyDescent="0.2">
      <c r="A135" s="273">
        <f>A126+A119+A114+A106+A103+A99+A95+A91+A83+A78+A75+A72+A69+A66+A55+A43+A36+A16+A13+A28+A111</f>
        <v>75</v>
      </c>
      <c r="D135" s="9"/>
      <c r="E135" s="9"/>
      <c r="F135" s="1">
        <f>F115+F112+F107+F104+F100+F97+F92+F84+F79+F76+F73+F70+F67+F56+F44+F37+F29+F19+F14+F7</f>
        <v>2503</v>
      </c>
    </row>
    <row r="137" spans="1:6" s="4" customFormat="1" ht="17" x14ac:dyDescent="0.2">
      <c r="A137" s="12" t="s">
        <v>424</v>
      </c>
    </row>
    <row r="138" spans="1:6" x14ac:dyDescent="0.2">
      <c r="A138" s="9">
        <f>A119+A114+A106+A103+A99+A95+A91+A83+A78+A75+A72+A69+A66+A55+A43+A36+A16+A13+A28+A111+A132</f>
        <v>74</v>
      </c>
    </row>
    <row r="141" spans="1:6" x14ac:dyDescent="0.2">
      <c r="A141" s="435" t="s">
        <v>454</v>
      </c>
      <c r="B141" s="436"/>
      <c r="C141" s="436"/>
      <c r="D141" s="437"/>
    </row>
  </sheetData>
  <mergeCells count="14">
    <mergeCell ref="A141:D141"/>
    <mergeCell ref="M5:N5"/>
    <mergeCell ref="G5:H5"/>
    <mergeCell ref="I5:J5"/>
    <mergeCell ref="A2:F2"/>
    <mergeCell ref="A3:F3"/>
    <mergeCell ref="A1:F1"/>
    <mergeCell ref="I75:J75"/>
    <mergeCell ref="I82:K82"/>
    <mergeCell ref="I83:J83"/>
    <mergeCell ref="H68:J68"/>
    <mergeCell ref="H67:L67"/>
    <mergeCell ref="H69:L69"/>
    <mergeCell ref="I74:K74"/>
  </mergeCells>
  <pageMargins left="0.7" right="0.7" top="0.78740157499999996" bottom="0.78740157499999996" header="0.3" footer="0.3"/>
  <pageSetup paperSize="9" scale="33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23</vt:i4>
      </vt:variant>
      <vt:variant>
        <vt:lpstr>Benannte Bereiche</vt:lpstr>
      </vt:variant>
      <vt:variant>
        <vt:i4>4</vt:i4>
      </vt:variant>
    </vt:vector>
  </HeadingPairs>
  <TitlesOfParts>
    <vt:vector size="27" baseType="lpstr">
      <vt:lpstr>Introduction</vt:lpstr>
      <vt:lpstr>Price list REWE </vt:lpstr>
      <vt:lpstr>Price list ALDI Süd</vt:lpstr>
      <vt:lpstr>H (H) PHD</vt:lpstr>
      <vt:lpstr> H Girl</vt:lpstr>
      <vt:lpstr> H Boy</vt:lpstr>
      <vt:lpstr>H Mother</vt:lpstr>
      <vt:lpstr>H Father</vt:lpstr>
      <vt:lpstr>Moderate (M) PHD</vt:lpstr>
      <vt:lpstr>M Girl </vt:lpstr>
      <vt:lpstr>M Boy</vt:lpstr>
      <vt:lpstr>M Mother </vt:lpstr>
      <vt:lpstr>M Father </vt:lpstr>
      <vt:lpstr>Light (L) PHD</vt:lpstr>
      <vt:lpstr>L Girl  </vt:lpstr>
      <vt:lpstr>L Boy</vt:lpstr>
      <vt:lpstr>L Mother </vt:lpstr>
      <vt:lpstr>L Father </vt:lpstr>
      <vt:lpstr>Total cost and affordability</vt:lpstr>
      <vt:lpstr>Calculation cost shares</vt:lpstr>
      <vt:lpstr>Calculations of share</vt:lpstr>
      <vt:lpstr>Graphs</vt:lpstr>
      <vt:lpstr>References</vt:lpstr>
      <vt:lpstr>' H Girl'!Druckbereich</vt:lpstr>
      <vt:lpstr>'H (H) PHD'!Druckbereich</vt:lpstr>
      <vt:lpstr>'Price list ALDI Süd'!Druckbereich</vt:lpstr>
      <vt:lpstr>'Price list REWE 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Arendt .</dc:creator>
  <cp:keywords/>
  <dc:description/>
  <cp:lastModifiedBy>Arendt .</cp:lastModifiedBy>
  <cp:revision/>
  <dcterms:created xsi:type="dcterms:W3CDTF">2023-03-08T09:41:13Z</dcterms:created>
  <dcterms:modified xsi:type="dcterms:W3CDTF">2024-03-25T15:41:56Z</dcterms:modified>
  <cp:category/>
  <cp:contentStatus/>
</cp:coreProperties>
</file>